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 codeName="ThisWorkbook"/>
  <mc:AlternateContent xmlns:mc="http://schemas.openxmlformats.org/markup-compatibility/2006">
    <mc:Choice Requires="x15">
      <x15ac:absPath xmlns:x15ac="http://schemas.microsoft.com/office/spreadsheetml/2010/11/ac" url="/Users/soedeshbaladien/Documents/NEXZOS OS/NEXZOS Docs to create and share/"/>
    </mc:Choice>
  </mc:AlternateContent>
  <xr:revisionPtr revIDLastSave="0" documentId="13_ncr:1_{939FE03B-5F4D-4749-9F80-EE8BC81B198C}" xr6:coauthVersionLast="47" xr6:coauthVersionMax="47" xr10:uidLastSave="{00000000-0000-0000-0000-000000000000}"/>
  <bookViews>
    <workbookView xWindow="0" yWindow="500" windowWidth="34920" windowHeight="19320" firstSheet="1" activeTab="3" xr2:uid="{00000000-000D-0000-FFFF-FFFF00000000}"/>
  </bookViews>
  <sheets>
    <sheet name="Cover Page" sheetId="13" r:id="rId1"/>
    <sheet name="Index" sheetId="12" r:id="rId2"/>
    <sheet name="PROJECT AT GLANCE" sheetId="11" r:id="rId3"/>
    <sheet name="Cost" sheetId="29" r:id="rId4"/>
    <sheet name="profit" sheetId="9" r:id="rId5"/>
    <sheet name="EXPENSES" sheetId="35" r:id="rId6"/>
    <sheet name="Depr." sheetId="6" r:id="rId7"/>
    <sheet name="Fund flow" sheetId="8" r:id="rId8"/>
    <sheet name="B.sheet" sheetId="24" r:id="rId9"/>
    <sheet name="BEP" sheetId="18" r:id="rId10"/>
    <sheet name="Annex  ROI" sheetId="14" r:id="rId11"/>
    <sheet name="Assumptions" sheetId="31" r:id="rId12"/>
  </sheets>
  <definedNames>
    <definedName name="_xlnm.Print_Area" localSheetId="8">B.sheet!$A$1:$G$24</definedName>
    <definedName name="_xlnm.Print_Area" localSheetId="3">Cost!$A$1:$C$28</definedName>
    <definedName name="_xlnm.Print_Area" localSheetId="0">'Cover Page'!$A$1:$N$37</definedName>
    <definedName name="_xlnm.Print_Area" localSheetId="6">Depr.!$A$1:$F$52</definedName>
    <definedName name="_xlnm.Print_Area" localSheetId="7">'Fund flow'!$A$1:$G$27</definedName>
    <definedName name="_xlnm.Print_Area" localSheetId="4">profit!$A$1:$F$59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7" i="29" l="1"/>
  <c r="C39" i="35"/>
  <c r="D39" i="35" s="1"/>
  <c r="E39" i="35" s="1"/>
  <c r="F39" i="35" s="1"/>
  <c r="G39" i="35" s="1"/>
  <c r="C37" i="35"/>
  <c r="D37" i="35" s="1"/>
  <c r="E37" i="35" s="1"/>
  <c r="F37" i="35" s="1"/>
  <c r="G37" i="35" s="1"/>
  <c r="C36" i="35"/>
  <c r="D36" i="35" s="1"/>
  <c r="E36" i="35" s="1"/>
  <c r="F36" i="35" s="1"/>
  <c r="G36" i="35" s="1"/>
  <c r="D35" i="35"/>
  <c r="E35" i="35" s="1"/>
  <c r="F35" i="35" s="1"/>
  <c r="G35" i="35" s="1"/>
  <c r="C33" i="35"/>
  <c r="D33" i="35" s="1"/>
  <c r="E33" i="35" s="1"/>
  <c r="F33" i="35" s="1"/>
  <c r="G33" i="35" s="1"/>
  <c r="E32" i="35"/>
  <c r="F32" i="35" s="1"/>
  <c r="G32" i="35" s="1"/>
  <c r="D32" i="35"/>
  <c r="D31" i="35"/>
  <c r="E31" i="35" s="1"/>
  <c r="F31" i="35" s="1"/>
  <c r="G31" i="35" s="1"/>
  <c r="E29" i="35"/>
  <c r="F29" i="35" s="1"/>
  <c r="G29" i="35" s="1"/>
  <c r="D29" i="35"/>
  <c r="D28" i="35"/>
  <c r="E28" i="35" s="1"/>
  <c r="F28" i="35" s="1"/>
  <c r="G28" i="35" s="1"/>
  <c r="E27" i="35"/>
  <c r="F27" i="35" s="1"/>
  <c r="G27" i="35" s="1"/>
  <c r="D27" i="35"/>
  <c r="C25" i="35"/>
  <c r="D25" i="35" s="1"/>
  <c r="E25" i="35" s="1"/>
  <c r="F25" i="35" s="1"/>
  <c r="G25" i="35" s="1"/>
  <c r="F24" i="35"/>
  <c r="G24" i="35" s="1"/>
  <c r="E24" i="35"/>
  <c r="D24" i="35"/>
  <c r="D23" i="35"/>
  <c r="E23" i="35" s="1"/>
  <c r="F23" i="35" s="1"/>
  <c r="G23" i="35" s="1"/>
  <c r="F21" i="35"/>
  <c r="G21" i="35" s="1"/>
  <c r="E21" i="35"/>
  <c r="D21" i="35"/>
  <c r="D20" i="35"/>
  <c r="E20" i="35" s="1"/>
  <c r="F20" i="35" s="1"/>
  <c r="G20" i="35" s="1"/>
  <c r="F19" i="35"/>
  <c r="G19" i="35" s="1"/>
  <c r="E19" i="35"/>
  <c r="D19" i="35"/>
  <c r="D16" i="35"/>
  <c r="E16" i="35" s="1"/>
  <c r="F16" i="35" s="1"/>
  <c r="G16" i="35" s="1"/>
  <c r="F14" i="35"/>
  <c r="G14" i="35" s="1"/>
  <c r="E14" i="35"/>
  <c r="D14" i="35"/>
  <c r="D12" i="35"/>
  <c r="C12" i="35"/>
  <c r="C41" i="35" s="1"/>
  <c r="D11" i="35"/>
  <c r="E11" i="35" s="1"/>
  <c r="E10" i="35"/>
  <c r="C19" i="9"/>
  <c r="F10" i="9"/>
  <c r="E10" i="9"/>
  <c r="D10" i="9"/>
  <c r="C10" i="9"/>
  <c r="V50" i="9"/>
  <c r="W50" i="9" s="1"/>
  <c r="X50" i="9" s="1"/>
  <c r="Y50" i="9" s="1"/>
  <c r="V49" i="9"/>
  <c r="W49" i="9" s="1"/>
  <c r="X49" i="9" s="1"/>
  <c r="Y49" i="9" s="1"/>
  <c r="C32" i="9"/>
  <c r="D32" i="9" s="1"/>
  <c r="E32" i="9" s="1"/>
  <c r="F32" i="9" s="1"/>
  <c r="C21" i="9"/>
  <c r="D21" i="9" s="1"/>
  <c r="E21" i="9" s="1"/>
  <c r="F21" i="9" s="1"/>
  <c r="D19" i="9"/>
  <c r="E19" i="9" s="1"/>
  <c r="F19" i="9" s="1"/>
  <c r="C16" i="9"/>
  <c r="D16" i="9" s="1"/>
  <c r="E16" i="9" s="1"/>
  <c r="F16" i="9" s="1"/>
  <c r="D15" i="9"/>
  <c r="E15" i="9" s="1"/>
  <c r="F15" i="9" s="1"/>
  <c r="A21" i="29"/>
  <c r="C21" i="29"/>
  <c r="C7" i="18"/>
  <c r="X6" i="9"/>
  <c r="Y6" i="9" s="1"/>
  <c r="U27" i="9"/>
  <c r="U46" i="9" s="1"/>
  <c r="V27" i="9"/>
  <c r="V46" i="9" s="1"/>
  <c r="W27" i="9"/>
  <c r="W46" i="9" s="1"/>
  <c r="X27" i="9"/>
  <c r="X31" i="9" s="1"/>
  <c r="Y27" i="9"/>
  <c r="Y31" i="9" s="1"/>
  <c r="V48" i="9"/>
  <c r="W48" i="9" s="1"/>
  <c r="X48" i="9" s="1"/>
  <c r="Y48" i="9" s="1"/>
  <c r="G19" i="8"/>
  <c r="F19" i="8"/>
  <c r="E19" i="8"/>
  <c r="D19" i="8"/>
  <c r="C19" i="8"/>
  <c r="C11" i="24"/>
  <c r="A17" i="8"/>
  <c r="A16" i="8"/>
  <c r="A15" i="8"/>
  <c r="A27" i="29"/>
  <c r="A26" i="29"/>
  <c r="B23" i="24"/>
  <c r="B39" i="6"/>
  <c r="B40" i="6" s="1"/>
  <c r="C38" i="6" s="1"/>
  <c r="B30" i="6"/>
  <c r="B34" i="6" s="1"/>
  <c r="C26" i="6" s="1"/>
  <c r="B27" i="6"/>
  <c r="B18" i="6"/>
  <c r="B22" i="6" s="1"/>
  <c r="C14" i="6" s="1"/>
  <c r="B15" i="6"/>
  <c r="B13" i="6"/>
  <c r="C40" i="9"/>
  <c r="D40" i="9" s="1"/>
  <c r="E40" i="9" s="1"/>
  <c r="F40" i="9" s="1"/>
  <c r="C37" i="9"/>
  <c r="D37" i="9" s="1"/>
  <c r="E37" i="9" s="1"/>
  <c r="F37" i="9" s="1"/>
  <c r="C36" i="9"/>
  <c r="D36" i="9" s="1"/>
  <c r="E36" i="9" s="1"/>
  <c r="F36" i="9" s="1"/>
  <c r="C29" i="9"/>
  <c r="D29" i="9" s="1"/>
  <c r="E29" i="9" s="1"/>
  <c r="F29" i="9" s="1"/>
  <c r="C26" i="9"/>
  <c r="D26" i="9" s="1"/>
  <c r="E26" i="9" s="1"/>
  <c r="F26" i="9" s="1"/>
  <c r="C34" i="9"/>
  <c r="D34" i="9" s="1"/>
  <c r="E34" i="9" s="1"/>
  <c r="F34" i="9" s="1"/>
  <c r="B17" i="9"/>
  <c r="F11" i="35" l="1"/>
  <c r="E12" i="35"/>
  <c r="E41" i="35" s="1"/>
  <c r="D41" i="35"/>
  <c r="F10" i="35"/>
  <c r="C25" i="9"/>
  <c r="D25" i="9" s="1"/>
  <c r="E25" i="9" s="1"/>
  <c r="F25" i="9" s="1"/>
  <c r="C33" i="9"/>
  <c r="D33" i="9" s="1"/>
  <c r="E33" i="9" s="1"/>
  <c r="F33" i="9" s="1"/>
  <c r="C24" i="9"/>
  <c r="D24" i="9" s="1"/>
  <c r="E24" i="9" s="1"/>
  <c r="F24" i="9" s="1"/>
  <c r="B14" i="18"/>
  <c r="C28" i="9"/>
  <c r="D28" i="9" s="1"/>
  <c r="E28" i="9" s="1"/>
  <c r="F28" i="9" s="1"/>
  <c r="B42" i="6"/>
  <c r="U45" i="9"/>
  <c r="X46" i="9"/>
  <c r="Y46" i="9"/>
  <c r="Y45" i="9"/>
  <c r="U31" i="9"/>
  <c r="X45" i="9"/>
  <c r="E40" i="11"/>
  <c r="R23" i="9"/>
  <c r="V31" i="9"/>
  <c r="V45" i="9"/>
  <c r="W31" i="9"/>
  <c r="Q23" i="9"/>
  <c r="W45" i="9"/>
  <c r="D11" i="24"/>
  <c r="E11" i="24" s="1"/>
  <c r="B30" i="9"/>
  <c r="C30" i="9" s="1"/>
  <c r="D30" i="9" s="1"/>
  <c r="E30" i="9" s="1"/>
  <c r="F30" i="9" s="1"/>
  <c r="B41" i="9"/>
  <c r="B38" i="9"/>
  <c r="C38" i="9" s="1"/>
  <c r="D38" i="9" s="1"/>
  <c r="E38" i="9" s="1"/>
  <c r="F38" i="9" s="1"/>
  <c r="C39" i="6"/>
  <c r="B28" i="6"/>
  <c r="B31" i="6"/>
  <c r="B35" i="6" s="1"/>
  <c r="C27" i="6" s="1"/>
  <c r="C31" i="6" s="1"/>
  <c r="C35" i="6" s="1"/>
  <c r="D27" i="6" s="1"/>
  <c r="B19" i="6"/>
  <c r="B23" i="6" s="1"/>
  <c r="C15" i="6" s="1"/>
  <c r="C30" i="6"/>
  <c r="C34" i="6" s="1"/>
  <c r="D26" i="6" s="1"/>
  <c r="C18" i="6"/>
  <c r="C22" i="6" s="1"/>
  <c r="D14" i="6" s="1"/>
  <c r="D18" i="6" s="1"/>
  <c r="D22" i="6" s="1"/>
  <c r="E14" i="6" s="1"/>
  <c r="B17" i="6"/>
  <c r="B21" i="6" s="1"/>
  <c r="D17" i="9"/>
  <c r="E7" i="18"/>
  <c r="D7" i="18"/>
  <c r="C17" i="9"/>
  <c r="F7" i="18"/>
  <c r="E15" i="18"/>
  <c r="D15" i="18"/>
  <c r="C15" i="18"/>
  <c r="B15" i="18"/>
  <c r="B10" i="18"/>
  <c r="B7" i="18"/>
  <c r="H12" i="24"/>
  <c r="A20" i="29"/>
  <c r="C19" i="29"/>
  <c r="A19" i="29"/>
  <c r="C18" i="29"/>
  <c r="A18" i="29"/>
  <c r="A17" i="29"/>
  <c r="D8" i="11"/>
  <c r="D7" i="11"/>
  <c r="D6" i="11"/>
  <c r="D4" i="11"/>
  <c r="A2" i="12"/>
  <c r="A1" i="11" s="1"/>
  <c r="G10" i="35" l="1"/>
  <c r="F12" i="35"/>
  <c r="F41" i="35" s="1"/>
  <c r="G11" i="35"/>
  <c r="G12" i="35" s="1"/>
  <c r="D9" i="18"/>
  <c r="D16" i="18" s="1"/>
  <c r="D18" i="18" s="1"/>
  <c r="B42" i="9"/>
  <c r="C42" i="9" s="1"/>
  <c r="D42" i="9" s="1"/>
  <c r="E42" i="9" s="1"/>
  <c r="F42" i="9" s="1"/>
  <c r="C41" i="9"/>
  <c r="D41" i="9" s="1"/>
  <c r="E41" i="9" s="1"/>
  <c r="F41" i="9" s="1"/>
  <c r="C14" i="18"/>
  <c r="C9" i="18"/>
  <c r="C16" i="18" s="1"/>
  <c r="C18" i="18" s="1"/>
  <c r="B9" i="18"/>
  <c r="B16" i="18" s="1"/>
  <c r="B18" i="8"/>
  <c r="B43" i="6"/>
  <c r="B44" i="6" s="1"/>
  <c r="C42" i="6" s="1"/>
  <c r="B49" i="6"/>
  <c r="A1" i="29"/>
  <c r="A1" i="6" s="1"/>
  <c r="A1" i="24" s="1"/>
  <c r="A1" i="8" s="1"/>
  <c r="A1" i="9" s="1"/>
  <c r="A1" i="31"/>
  <c r="C13" i="6"/>
  <c r="C17" i="6" s="1"/>
  <c r="C21" i="6" s="1"/>
  <c r="F11" i="24"/>
  <c r="C40" i="6"/>
  <c r="D38" i="6" s="1"/>
  <c r="C19" i="6"/>
  <c r="C23" i="6" s="1"/>
  <c r="D15" i="6" s="1"/>
  <c r="B36" i="6"/>
  <c r="C28" i="6" s="1"/>
  <c r="B32" i="6"/>
  <c r="B46" i="6" s="1"/>
  <c r="D31" i="6"/>
  <c r="D35" i="6" s="1"/>
  <c r="E27" i="6" s="1"/>
  <c r="D30" i="6"/>
  <c r="D34" i="6" s="1"/>
  <c r="E26" i="6" s="1"/>
  <c r="E18" i="6"/>
  <c r="E22" i="6" s="1"/>
  <c r="F14" i="6" s="1"/>
  <c r="E17" i="9"/>
  <c r="G41" i="35" l="1"/>
  <c r="C46" i="9"/>
  <c r="B46" i="9"/>
  <c r="B18" i="18"/>
  <c r="B23" i="18"/>
  <c r="C23" i="18"/>
  <c r="D14" i="18"/>
  <c r="D23" i="18" s="1"/>
  <c r="C20" i="29"/>
  <c r="C22" i="29" s="1"/>
  <c r="C28" i="29" s="1"/>
  <c r="E24" i="11"/>
  <c r="C43" i="6"/>
  <c r="C44" i="6" s="1"/>
  <c r="D42" i="6" s="1"/>
  <c r="D43" i="6" s="1"/>
  <c r="D44" i="6" s="1"/>
  <c r="E42" i="6" s="1"/>
  <c r="E43" i="6" s="1"/>
  <c r="E44" i="6" s="1"/>
  <c r="F42" i="6" s="1"/>
  <c r="F43" i="6" s="1"/>
  <c r="F44" i="6" s="1"/>
  <c r="C49" i="6"/>
  <c r="B19" i="8"/>
  <c r="B21" i="24"/>
  <c r="B24" i="24" s="1"/>
  <c r="C21" i="24"/>
  <c r="B1" i="35"/>
  <c r="A1" i="18"/>
  <c r="A1" i="14" s="1"/>
  <c r="D13" i="6"/>
  <c r="D17" i="6" s="1"/>
  <c r="D21" i="6" s="1"/>
  <c r="C10" i="8"/>
  <c r="B44" i="9"/>
  <c r="G11" i="24"/>
  <c r="D46" i="9"/>
  <c r="D39" i="6"/>
  <c r="C32" i="6"/>
  <c r="D19" i="6"/>
  <c r="D23" i="6" s="1"/>
  <c r="E15" i="6" s="1"/>
  <c r="E19" i="6" s="1"/>
  <c r="E23" i="6" s="1"/>
  <c r="F15" i="6" s="1"/>
  <c r="E30" i="6"/>
  <c r="E34" i="6" s="1"/>
  <c r="F26" i="6" s="1"/>
  <c r="E31" i="6"/>
  <c r="E35" i="6" s="1"/>
  <c r="F27" i="6" s="1"/>
  <c r="F18" i="6"/>
  <c r="F22" i="6" s="1"/>
  <c r="F17" i="9"/>
  <c r="C46" i="6" l="1"/>
  <c r="B55" i="9"/>
  <c r="B19" i="14" s="1"/>
  <c r="C44" i="9"/>
  <c r="E14" i="18"/>
  <c r="E9" i="18"/>
  <c r="E16" i="18" s="1"/>
  <c r="E18" i="18" s="1"/>
  <c r="B29" i="14"/>
  <c r="C11" i="29"/>
  <c r="B12" i="24"/>
  <c r="B17" i="24" s="1"/>
  <c r="B26" i="24" s="1"/>
  <c r="E29" i="11"/>
  <c r="B49" i="9"/>
  <c r="B13" i="18"/>
  <c r="B20" i="18" s="1"/>
  <c r="E13" i="6"/>
  <c r="E17" i="6" s="1"/>
  <c r="E21" i="6" s="1"/>
  <c r="E46" i="9"/>
  <c r="D40" i="6"/>
  <c r="E38" i="6" s="1"/>
  <c r="C36" i="6"/>
  <c r="D21" i="24" s="1"/>
  <c r="F30" i="6"/>
  <c r="F34" i="6" s="1"/>
  <c r="F31" i="6"/>
  <c r="F35" i="6" s="1"/>
  <c r="F19" i="6"/>
  <c r="F23" i="6" s="1"/>
  <c r="C10" i="18"/>
  <c r="D44" i="9" l="1"/>
  <c r="C49" i="9"/>
  <c r="E23" i="18"/>
  <c r="F14" i="18"/>
  <c r="F9" i="18"/>
  <c r="F16" i="18" s="1"/>
  <c r="F18" i="18" s="1"/>
  <c r="E31" i="11"/>
  <c r="B11" i="8" s="1"/>
  <c r="B12" i="8" s="1"/>
  <c r="B24" i="8" s="1"/>
  <c r="B26" i="8" s="1"/>
  <c r="C22" i="8" s="1"/>
  <c r="F46" i="9"/>
  <c r="F13" i="6"/>
  <c r="F17" i="6" s="1"/>
  <c r="F21" i="6" s="1"/>
  <c r="B17" i="14"/>
  <c r="B23" i="14" s="1"/>
  <c r="E44" i="11"/>
  <c r="E45" i="11" s="1"/>
  <c r="B51" i="9"/>
  <c r="B53" i="9" s="1"/>
  <c r="D10" i="8"/>
  <c r="E39" i="6"/>
  <c r="D28" i="6"/>
  <c r="D49" i="6" s="1"/>
  <c r="D10" i="18"/>
  <c r="E44" i="9" l="1"/>
  <c r="D49" i="9"/>
  <c r="F23" i="18"/>
  <c r="C55" i="9"/>
  <c r="C19" i="14" s="1"/>
  <c r="C13" i="18"/>
  <c r="C20" i="18" s="1"/>
  <c r="C12" i="24"/>
  <c r="B57" i="9"/>
  <c r="E47" i="11" s="1"/>
  <c r="C9" i="8"/>
  <c r="E40" i="6"/>
  <c r="F38" i="6" s="1"/>
  <c r="D32" i="6"/>
  <c r="D46" i="6" s="1"/>
  <c r="E10" i="18"/>
  <c r="F44" i="9" l="1"/>
  <c r="E49" i="9"/>
  <c r="C17" i="24"/>
  <c r="C23" i="24"/>
  <c r="C12" i="8"/>
  <c r="C24" i="8" s="1"/>
  <c r="C26" i="8" s="1"/>
  <c r="C17" i="14"/>
  <c r="C23" i="14" s="1"/>
  <c r="C51" i="9"/>
  <c r="F39" i="6"/>
  <c r="D36" i="6"/>
  <c r="E21" i="24" s="1"/>
  <c r="C24" i="24" l="1"/>
  <c r="C26" i="24" s="1"/>
  <c r="D22" i="8"/>
  <c r="E10" i="8"/>
  <c r="C53" i="9"/>
  <c r="E28" i="6"/>
  <c r="E49" i="6" s="1"/>
  <c r="F40" i="6"/>
  <c r="D13" i="18" l="1"/>
  <c r="D20" i="18" s="1"/>
  <c r="D55" i="9"/>
  <c r="D19" i="14" s="1"/>
  <c r="D9" i="8"/>
  <c r="C57" i="9"/>
  <c r="D12" i="24"/>
  <c r="E32" i="6"/>
  <c r="E46" i="6" s="1"/>
  <c r="E36" i="6" l="1"/>
  <c r="F21" i="24" s="1"/>
  <c r="D12" i="8"/>
  <c r="D24" i="8" s="1"/>
  <c r="D26" i="8" s="1"/>
  <c r="E22" i="8" s="1"/>
  <c r="D23" i="24"/>
  <c r="F10" i="8"/>
  <c r="D17" i="24"/>
  <c r="D17" i="14"/>
  <c r="D23" i="14" s="1"/>
  <c r="D51" i="9"/>
  <c r="D53" i="9" s="1"/>
  <c r="E12" i="24" s="1"/>
  <c r="F28" i="6"/>
  <c r="F49" i="6" s="1"/>
  <c r="E17" i="24" l="1"/>
  <c r="E55" i="9"/>
  <c r="E19" i="14" s="1"/>
  <c r="E13" i="18"/>
  <c r="E20" i="18" s="1"/>
  <c r="D57" i="9"/>
  <c r="E9" i="8"/>
  <c r="E12" i="8" s="1"/>
  <c r="E24" i="8" s="1"/>
  <c r="E26" i="8" s="1"/>
  <c r="F22" i="8" s="1"/>
  <c r="D24" i="24"/>
  <c r="D26" i="24" s="1"/>
  <c r="F32" i="6"/>
  <c r="F46" i="6" s="1"/>
  <c r="E23" i="24" l="1"/>
  <c r="E24" i="24" s="1"/>
  <c r="E26" i="24" s="1"/>
  <c r="E17" i="14"/>
  <c r="E23" i="14" s="1"/>
  <c r="E51" i="9"/>
  <c r="E53" i="9" s="1"/>
  <c r="F36" i="6"/>
  <c r="G21" i="24" s="1"/>
  <c r="E57" i="9" l="1"/>
  <c r="F9" i="8"/>
  <c r="F12" i="24"/>
  <c r="G10" i="8"/>
  <c r="F12" i="8" l="1"/>
  <c r="F24" i="8" s="1"/>
  <c r="F26" i="8" s="1"/>
  <c r="G22" i="8" s="1"/>
  <c r="F23" i="24"/>
  <c r="F17" i="24"/>
  <c r="F55" i="9"/>
  <c r="F19" i="14" s="1"/>
  <c r="F49" i="9"/>
  <c r="F13" i="18"/>
  <c r="F20" i="18" s="1"/>
  <c r="F17" i="14" l="1"/>
  <c r="F23" i="14" s="1"/>
  <c r="B27" i="14" s="1"/>
  <c r="B31" i="14" s="1"/>
  <c r="F51" i="9"/>
  <c r="F24" i="24"/>
  <c r="F26" i="24" s="1"/>
  <c r="F53" i="9" l="1"/>
  <c r="F57" i="9" l="1"/>
  <c r="G9" i="8"/>
  <c r="G12" i="24"/>
  <c r="G17" i="24" s="1"/>
  <c r="G12" i="8" l="1"/>
  <c r="G24" i="8" s="1"/>
  <c r="G26" i="8" s="1"/>
  <c r="G23" i="24"/>
  <c r="G24" i="24" s="1"/>
  <c r="G26" i="2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Soedesh B</author>
  </authors>
  <commentList>
    <comment ref="E21" authorId="0" shapeId="0" xr:uid="{7C669292-220C-1B4C-8B0F-C084F014C34D}">
      <text>
        <r>
          <rPr>
            <b/>
            <sz val="10"/>
            <color rgb="FF000000"/>
            <rFont val="Tahoma"/>
            <family val="2"/>
          </rPr>
          <t>Soedesh B: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Including $ 1M Miscalenous costs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Soedesh B</author>
  </authors>
  <commentList>
    <comment ref="B8" authorId="0" shapeId="0" xr:uid="{3642B87A-E5CE-764C-9770-E46528E17BCE}">
      <text>
        <r>
          <rPr>
            <b/>
            <sz val="10"/>
            <color rgb="FF000000"/>
            <rFont val="Tahoma"/>
            <family val="2"/>
          </rPr>
          <t>Soedesh B: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5 Million users, 75% paid subscriptions
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For short marketing description, see:
</t>
        </r>
        <r>
          <rPr>
            <sz val="10"/>
            <color rgb="FF000000"/>
            <rFont val="Tahoma"/>
            <family val="2"/>
          </rPr>
          <t xml:space="preserve">www.nexzos.com Buttons:
</t>
        </r>
        <r>
          <rPr>
            <sz val="10"/>
            <color rgb="FF000000"/>
            <rFont val="Tahoma"/>
            <family val="2"/>
          </rPr>
          <t xml:space="preserve">- </t>
        </r>
        <r>
          <rPr>
            <b/>
            <sz val="10"/>
            <color rgb="FF000000"/>
            <rFont val="Arial"/>
            <family val="2"/>
          </rPr>
          <t xml:space="preserve">Market growth chain reaction
</t>
        </r>
        <r>
          <rPr>
            <sz val="10"/>
            <color rgb="FF000000"/>
            <rFont val="Tahoma"/>
            <family val="2"/>
          </rPr>
          <t xml:space="preserve">- </t>
        </r>
        <r>
          <rPr>
            <b/>
            <sz val="10"/>
            <color rgb="FF000000"/>
            <rFont val="Arial"/>
            <family val="2"/>
          </rPr>
          <t xml:space="preserve">Marketing Presentation for Scoped Operating System
</t>
        </r>
      </text>
    </comment>
    <comment ref="C8" authorId="0" shapeId="0" xr:uid="{89604C9B-B107-FB43-BD8A-E17EFB510096}">
      <text>
        <r>
          <rPr>
            <b/>
            <sz val="10"/>
            <color rgb="FF000000"/>
            <rFont val="Tahoma"/>
            <family val="2"/>
          </rPr>
          <t>Soedesh B: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25 Million users.
</t>
        </r>
        <r>
          <rPr>
            <sz val="10"/>
            <color rgb="FF000000"/>
            <rFont val="Tahoma"/>
            <family val="2"/>
          </rPr>
          <t>The percentage paid will increase and the average will take more and more additional subscriptions. On top average minimum additonal subscriptions for 1.- extra for AI's and additional Tools</t>
        </r>
      </text>
    </comment>
    <comment ref="D8" authorId="0" shapeId="0" xr:uid="{A5C7387A-0060-A34D-A633-876077E14045}">
      <text>
        <r>
          <rPr>
            <b/>
            <sz val="10"/>
            <color rgb="FF000000"/>
            <rFont val="Tahoma"/>
            <family val="2"/>
          </rPr>
          <t>Soedesh B: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Easily 50 million users. Easily growth number the single $1.- users, and more and more additional paid AIs and tools users.
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Expecting that also AI developing companies will approach to offer solutions which can be built in and considered for paid subsciription version. 
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From here, an ecosystem can be developed for so called 3rd party tools to embed in the own OS. 
</t>
        </r>
        <r>
          <rPr>
            <sz val="10"/>
            <color rgb="FF000000"/>
            <rFont val="Tahoma"/>
            <family val="2"/>
          </rPr>
          <t xml:space="preserve">A finance structure will have to be designed accordingly.
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The given financial scopes, are very careful low end estimated. From 2nd year, latest 3rd year a more exponential growth can be expected then forecasted.</t>
        </r>
      </text>
    </comment>
    <comment ref="E8" authorId="0" shapeId="0" xr:uid="{22FF0A37-FF28-9F4A-A6B0-CA11B7BAEF44}">
      <text>
        <r>
          <rPr>
            <b/>
            <sz val="10"/>
            <color rgb="FF000000"/>
            <rFont val="Tahoma"/>
            <family val="2"/>
          </rPr>
          <t>Soedesh B: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Expecting 100 million users
</t>
        </r>
        <r>
          <rPr>
            <sz val="10"/>
            <color rgb="FF000000"/>
            <rFont val="Tahoma"/>
            <family val="2"/>
          </rPr>
          <t>Average easily $ 2.50 per user</t>
        </r>
      </text>
    </comment>
    <comment ref="F8" authorId="0" shapeId="0" xr:uid="{8F548E18-AD9D-594A-9A1B-A3EB659A52ED}">
      <text>
        <r>
          <rPr>
            <b/>
            <sz val="10"/>
            <color rgb="FF000000"/>
            <rFont val="Tahoma"/>
            <family val="2"/>
          </rPr>
          <t>Soedesh B: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Around 200M Users. And mix of Multi AIs and Tools the average user. Average $ 3.- per user
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Expecting that MS Windows will "react", so that will have some effect on our growth revenue. We wll have to sit from 3rd year intensively with a think tank team to be able to continue with the expenentional growth.
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These projections are conservative for now.
</t>
        </r>
        <r>
          <rPr>
            <sz val="10"/>
            <color rgb="FF000000"/>
            <rFont val="Tahoma"/>
            <family val="2"/>
          </rPr>
          <t xml:space="preserve">As in a previous comment mentioned, more exponential growth can be expected then projected over here. Accordingly the strategies will be the accordingly modified and upgraded.
</t>
        </r>
      </text>
    </comment>
  </commentList>
</comments>
</file>

<file path=xl/sharedStrings.xml><?xml version="1.0" encoding="utf-8"?>
<sst xmlns="http://schemas.openxmlformats.org/spreadsheetml/2006/main" count="345" uniqueCount="203">
  <si>
    <t xml:space="preserve">DETAILED PROJECT REPORT FOR </t>
  </si>
  <si>
    <t>Bus.Office:</t>
  </si>
  <si>
    <t>Address</t>
  </si>
  <si>
    <t>I  N  D  E  X</t>
  </si>
  <si>
    <t>SL.</t>
  </si>
  <si>
    <t>C O N T E N T S</t>
  </si>
  <si>
    <t>PAGES</t>
  </si>
  <si>
    <t>CHAPTER :</t>
  </si>
  <si>
    <t>PROJECT AT GLANCE</t>
  </si>
  <si>
    <t>COST OF THE PROJECT AND MEANS OF FINANCE</t>
  </si>
  <si>
    <t>PROJECTIONS AND PROFITABILITY STATEMENT</t>
  </si>
  <si>
    <t>BALANCE SHEET</t>
  </si>
  <si>
    <t>A N N E X U R E S</t>
  </si>
  <si>
    <t>DEPRECIATION SCHEDULE</t>
  </si>
  <si>
    <t>BREAK EVEN ANALYSIS</t>
  </si>
  <si>
    <t>ANALYSIS ON RETURN ON INVESTMENT</t>
  </si>
  <si>
    <t>ASSUMPTION AND WORKING NOTES</t>
  </si>
  <si>
    <t>CHAPTER NO. 1</t>
  </si>
  <si>
    <t>PROJECT AT GLANCE :</t>
  </si>
  <si>
    <t>Name</t>
  </si>
  <si>
    <t>:</t>
  </si>
  <si>
    <t>Reg.Office:</t>
  </si>
  <si>
    <t>Nature of Business</t>
  </si>
  <si>
    <t>Constitution</t>
  </si>
  <si>
    <t>Cost of the project</t>
  </si>
  <si>
    <t>Particulars</t>
  </si>
  <si>
    <t>Total</t>
  </si>
  <si>
    <t>Means of Finance</t>
  </si>
  <si>
    <t>Gross Profit Ratio</t>
  </si>
  <si>
    <t xml:space="preserve"> First Year Operation.</t>
  </si>
  <si>
    <t>Net Profit Ratio</t>
  </si>
  <si>
    <t>Employment Potential</t>
  </si>
  <si>
    <t>Return on Investment</t>
  </si>
  <si>
    <t>%</t>
  </si>
  <si>
    <t>STATEMENT NO. 1</t>
  </si>
  <si>
    <t>COST OF THE PROJECT AND MEANS OF FINANCE:</t>
  </si>
  <si>
    <t>The project cost has been estimated at Rs.</t>
  </si>
  <si>
    <t>Brief details of the project cost is given below</t>
  </si>
  <si>
    <t>STATEMENT NO.2</t>
  </si>
  <si>
    <t>PARTICULARS</t>
  </si>
  <si>
    <t>Operating years</t>
  </si>
  <si>
    <t xml:space="preserve">     Depreciation</t>
  </si>
  <si>
    <t xml:space="preserve">     Cost of Operations</t>
  </si>
  <si>
    <t xml:space="preserve"> ANNEXURE NO.1</t>
  </si>
  <si>
    <t>DEPRECIATION SCHEDULE:</t>
  </si>
  <si>
    <t xml:space="preserve">    Depreciation @ 10%</t>
  </si>
  <si>
    <t xml:space="preserve">    WDV</t>
  </si>
  <si>
    <t>Total Depreciation</t>
  </si>
  <si>
    <t>(A HDPE/PP Fabrics Project)</t>
  </si>
  <si>
    <t>Operating Years</t>
  </si>
  <si>
    <r>
      <rPr>
        <b/>
        <sz val="11"/>
        <rFont val="Times New Roman"/>
        <family val="1"/>
      </rPr>
      <t xml:space="preserve">A. </t>
    </r>
    <r>
      <rPr>
        <b/>
        <u/>
        <sz val="11"/>
        <rFont val="Times New Roman"/>
        <family val="1"/>
      </rPr>
      <t xml:space="preserve">Source of Funds </t>
    </r>
    <r>
      <rPr>
        <b/>
        <sz val="11"/>
        <rFont val="Times New Roman"/>
        <family val="1"/>
      </rPr>
      <t>:</t>
    </r>
  </si>
  <si>
    <t xml:space="preserve">    Profit after Tax</t>
  </si>
  <si>
    <t xml:space="preserve">    Depreciation</t>
  </si>
  <si>
    <t xml:space="preserve"> - </t>
  </si>
  <si>
    <t xml:space="preserve">    TOTAL OF ' A '</t>
  </si>
  <si>
    <r>
      <rPr>
        <b/>
        <sz val="11"/>
        <rFont val="Times New Roman"/>
        <family val="1"/>
      </rPr>
      <t xml:space="preserve">B.  </t>
    </r>
    <r>
      <rPr>
        <b/>
        <u/>
        <sz val="11"/>
        <rFont val="Times New Roman"/>
        <family val="1"/>
      </rPr>
      <t xml:space="preserve">Application of Funds </t>
    </r>
    <r>
      <rPr>
        <b/>
        <sz val="11"/>
        <rFont val="Times New Roman"/>
        <family val="1"/>
      </rPr>
      <t>:</t>
    </r>
  </si>
  <si>
    <t xml:space="preserve">     TOTAL OF ' B '</t>
  </si>
  <si>
    <t xml:space="preserve">    </t>
  </si>
  <si>
    <t>C.  Opening Balance</t>
  </si>
  <si>
    <t xml:space="preserve"> </t>
  </si>
  <si>
    <t>D.  Net surplus ( A - B )</t>
  </si>
  <si>
    <t>E.  Closing Balance</t>
  </si>
  <si>
    <t>STATEMENT No.4</t>
  </si>
  <si>
    <t xml:space="preserve">    TOTAL</t>
  </si>
  <si>
    <r>
      <rPr>
        <b/>
        <sz val="11"/>
        <rFont val="Times New Roman"/>
        <family val="1"/>
      </rPr>
      <t xml:space="preserve">B.  </t>
    </r>
    <r>
      <rPr>
        <b/>
        <u/>
        <sz val="11"/>
        <rFont val="Times New Roman"/>
        <family val="1"/>
      </rPr>
      <t xml:space="preserve">ASSETS </t>
    </r>
    <r>
      <rPr>
        <b/>
        <sz val="11"/>
        <rFont val="Times New Roman"/>
        <family val="1"/>
      </rPr>
      <t>:</t>
    </r>
  </si>
  <si>
    <t>Current Assets</t>
  </si>
  <si>
    <t xml:space="preserve">       Cash &amp; Bank</t>
  </si>
  <si>
    <t xml:space="preserve">     TOTAL </t>
  </si>
  <si>
    <t xml:space="preserve"> ANNEXURE NO.2</t>
  </si>
  <si>
    <t xml:space="preserve"> BREAK-EVEN ANALYSIS</t>
  </si>
  <si>
    <t>Years</t>
  </si>
  <si>
    <t xml:space="preserve">      [ D / F x 100 ]</t>
  </si>
  <si>
    <t>H.  Cash Break Even</t>
  </si>
  <si>
    <t xml:space="preserve">     [ Without Depreciation]</t>
  </si>
  <si>
    <t xml:space="preserve"> ANNEXURE NO.5</t>
  </si>
  <si>
    <t>ANALYSIS OF RETURN ON INVESTMENT :</t>
  </si>
  <si>
    <t>1. Return on Investment       =</t>
  </si>
  <si>
    <t xml:space="preserve">  Average Return  x 100</t>
  </si>
  <si>
    <t xml:space="preserve">    Capital Employed</t>
  </si>
  <si>
    <t xml:space="preserve">2.   Return                                 = </t>
  </si>
  <si>
    <t>Profit before tax + Depreciation + Interest on term loan</t>
  </si>
  <si>
    <t>3.   Capital Employed            =</t>
  </si>
  <si>
    <t>Cost of the Project</t>
  </si>
  <si>
    <t>RETURN ON INVESTMENT  :</t>
  </si>
  <si>
    <t>O P E R T I N G  Y E A R S</t>
  </si>
  <si>
    <t>Profit before tax</t>
  </si>
  <si>
    <t>Depreciation</t>
  </si>
  <si>
    <t xml:space="preserve">#  Average Return        </t>
  </si>
  <si>
    <t xml:space="preserve">#  Capital Employed   </t>
  </si>
  <si>
    <t xml:space="preserve">#  Return on Investment   </t>
  </si>
  <si>
    <t>Assumption and workings notes to the Financial Statements of the Project Report:</t>
  </si>
  <si>
    <t>FIXED ASSETS</t>
  </si>
  <si>
    <t>COMPANY</t>
  </si>
  <si>
    <t>SOFTWARE SERVICES</t>
  </si>
  <si>
    <t>Research &amp; development</t>
  </si>
  <si>
    <t>TRESBIZZ</t>
  </si>
  <si>
    <t>LIFETIME</t>
  </si>
  <si>
    <t xml:space="preserve">5-8 YEARS </t>
  </si>
  <si>
    <t>SELL PRICE</t>
  </si>
  <si>
    <t>A</t>
  </si>
  <si>
    <t>B</t>
  </si>
  <si>
    <t>C</t>
  </si>
  <si>
    <t>A- ENTRY</t>
  </si>
  <si>
    <t>B-PRO</t>
  </si>
  <si>
    <t>C-ULTIMATE</t>
  </si>
  <si>
    <t>MARKET</t>
  </si>
  <si>
    <t xml:space="preserve">AFTER 3 YEARS </t>
  </si>
  <si>
    <t xml:space="preserve">AFTER 5 YEARS </t>
  </si>
  <si>
    <t>MARKET SIZE</t>
  </si>
  <si>
    <t>YEAR</t>
  </si>
  <si>
    <t>TOTAL REVENUE ESTIMATED</t>
  </si>
  <si>
    <t>EXPENSES</t>
  </si>
  <si>
    <t>DOLLARS</t>
  </si>
  <si>
    <t>(millions)</t>
  </si>
  <si>
    <t>TRAVELLING EXP</t>
  </si>
  <si>
    <t>THOUSAND DOLLARS</t>
  </si>
  <si>
    <t xml:space="preserve">TELEPHONE &amp; INTERNET </t>
  </si>
  <si>
    <t>COMPUTERS &amp; EQUPMENTS</t>
  </si>
  <si>
    <t>HARDWARE TESTING EQUIPMENTS</t>
  </si>
  <si>
    <t>INCLUDING 3RD PARTY SOFTWARES</t>
  </si>
  <si>
    <t xml:space="preserve">FURNITURE &amp; FITTINGS </t>
  </si>
  <si>
    <t>Rent Expenses:-</t>
  </si>
  <si>
    <t>Indian Branch</t>
  </si>
  <si>
    <t>Dubai Branch</t>
  </si>
  <si>
    <t>Electricity Expenses:-</t>
  </si>
  <si>
    <r>
      <t xml:space="preserve">B. </t>
    </r>
    <r>
      <rPr>
        <b/>
        <u/>
        <sz val="11"/>
        <rFont val="Times New Roman"/>
        <family val="1"/>
      </rPr>
      <t>EXPENSES:</t>
    </r>
  </si>
  <si>
    <r>
      <t xml:space="preserve"> A.</t>
    </r>
    <r>
      <rPr>
        <b/>
        <u/>
        <sz val="11"/>
        <rFont val="Times New Roman"/>
        <family val="1"/>
      </rPr>
      <t>INCOME</t>
    </r>
    <r>
      <rPr>
        <u/>
        <sz val="11"/>
        <rFont val="Times New Roman"/>
        <family val="1"/>
      </rPr>
      <t>:</t>
    </r>
  </si>
  <si>
    <t>Sales &amp; Marketing  Expenses</t>
  </si>
  <si>
    <t>Netherlands Branch</t>
  </si>
  <si>
    <t>In  Dollars</t>
  </si>
  <si>
    <t>Research &amp; Developemnet Expenses:-</t>
  </si>
  <si>
    <t>Sales &amp; Marketing Expenses:-</t>
  </si>
  <si>
    <t>Salary Expenses:-</t>
  </si>
  <si>
    <t>Telephone &amp; Internet Charges:-</t>
  </si>
  <si>
    <t>Office &amp; Miscellenious Expenses</t>
  </si>
  <si>
    <t xml:space="preserve">     Depreciation Expense:-</t>
  </si>
  <si>
    <t>1. Computer &amp; Equipments:-</t>
  </si>
  <si>
    <t xml:space="preserve">    Depreciation @ 15%</t>
  </si>
  <si>
    <t>2. Furniture &amp;Fittings</t>
  </si>
  <si>
    <t>3.Hardware Testing Equipments</t>
  </si>
  <si>
    <t>Totals Assets</t>
  </si>
  <si>
    <t>Profit before Tax</t>
  </si>
  <si>
    <t>Income Tax</t>
  </si>
  <si>
    <t>Depreciation added back</t>
  </si>
  <si>
    <t xml:space="preserve">Profit after Tax </t>
  </si>
  <si>
    <t xml:space="preserve">Cash Accruals </t>
  </si>
  <si>
    <t>Set up Cost</t>
  </si>
  <si>
    <t xml:space="preserve">           ($) </t>
  </si>
  <si>
    <t>Equity Shareholding:-</t>
  </si>
  <si>
    <t>Strategic Investment</t>
  </si>
  <si>
    <t>FUND - FLOW STATEMENT :</t>
  </si>
  <si>
    <r>
      <t>A. EQUITY &amp; LIABILITIES</t>
    </r>
    <r>
      <rPr>
        <b/>
        <u/>
        <sz val="11"/>
        <rFont val="Times New Roman"/>
        <family val="1"/>
      </rPr>
      <t xml:space="preserve"> </t>
    </r>
    <r>
      <rPr>
        <b/>
        <sz val="11"/>
        <rFont val="Times New Roman"/>
        <family val="1"/>
      </rPr>
      <t>:</t>
    </r>
  </si>
  <si>
    <t>Shareholders Fund</t>
  </si>
  <si>
    <t>Share Capital</t>
  </si>
  <si>
    <t>Reserve &amp; Surplus</t>
  </si>
  <si>
    <t>Current Liablities</t>
  </si>
  <si>
    <t>Non Current Liablities</t>
  </si>
  <si>
    <t>-</t>
  </si>
  <si>
    <t xml:space="preserve">     Non Current Assets</t>
  </si>
  <si>
    <t xml:space="preserve">    Equity Contribution</t>
  </si>
  <si>
    <t>Rent Expense</t>
  </si>
  <si>
    <t>Receipts</t>
  </si>
  <si>
    <r>
      <rPr>
        <b/>
        <sz val="11"/>
        <rFont val="Times New Roman"/>
        <family val="1"/>
      </rPr>
      <t>Variable cost</t>
    </r>
    <r>
      <rPr>
        <sz val="11"/>
        <rFont val="Times New Roman"/>
        <family val="1"/>
      </rPr>
      <t>:</t>
    </r>
  </si>
  <si>
    <t>Fixed costs:</t>
  </si>
  <si>
    <t xml:space="preserve">Contribution </t>
  </si>
  <si>
    <t>P.V.Ratio [ E/B x 100 ]</t>
  </si>
  <si>
    <t>Break - even [ Value ]</t>
  </si>
  <si>
    <t>FUND - FLOW STATEMENT</t>
  </si>
  <si>
    <t>($)</t>
  </si>
  <si>
    <t>ANNEXURE NO.</t>
  </si>
  <si>
    <t>Valuation Criteria</t>
  </si>
  <si>
    <t>Initial Cost inccured</t>
  </si>
  <si>
    <t xml:space="preserve">Software Developmnet </t>
  </si>
  <si>
    <t>Brand Registration</t>
  </si>
  <si>
    <t>4.Brand Registration Copy Right patent</t>
  </si>
  <si>
    <t xml:space="preserve">    Depreciation @ 25%</t>
  </si>
  <si>
    <t>[1+2+3+4]</t>
  </si>
  <si>
    <t>4.Brand Registeration</t>
  </si>
  <si>
    <t>*</t>
  </si>
  <si>
    <t>Travelling Expenses from second year has been cut down by 50% &amp; thereafter increase by 10% every year</t>
  </si>
  <si>
    <t xml:space="preserve">Income Tax is assumed to be 25% </t>
  </si>
  <si>
    <t>Depreciation for Computer &amp; equipment is taken 15%, Furniture &amp; fittings  is 10%, Brand Copy Right is 25%</t>
  </si>
  <si>
    <t>Income Tax provision created &amp; paid in same year</t>
  </si>
  <si>
    <t>Total Sales</t>
  </si>
  <si>
    <t>Online Sales</t>
  </si>
  <si>
    <t>STATEMENT NO. 3</t>
  </si>
  <si>
    <t>STATEMENT No.5</t>
  </si>
  <si>
    <t>Offline Direct Sales OEM partners</t>
  </si>
  <si>
    <t>5.4Billion</t>
  </si>
  <si>
    <t>Will be during Go Live with re-occurring earnings invested</t>
  </si>
  <si>
    <t>After initial earnings can additional investment can be considered or, generated income can be step by step invested</t>
  </si>
  <si>
    <t>Will be considered by founder step by step investment</t>
  </si>
  <si>
    <r>
      <rPr>
        <b/>
        <sz val="14"/>
        <color rgb="FFFF0000"/>
        <rFont val="Times New Roman"/>
        <family val="1"/>
      </rPr>
      <t>&lt;==</t>
    </r>
    <r>
      <rPr>
        <sz val="14"/>
        <color rgb="FFFF0000"/>
        <rFont val="Times New Roman"/>
        <family val="1"/>
      </rPr>
      <t xml:space="preserve"> Check the inserted comments</t>
    </r>
  </si>
  <si>
    <t>If the growth will be more expenential then forecasted</t>
  </si>
  <si>
    <t>Then accordingly the expenses and depreciations will be also accordingly adjusted</t>
  </si>
  <si>
    <t>All Expesnes except Tarvelling Expenses has been increased by 10%</t>
  </si>
  <si>
    <t xml:space="preserve">RESEARCH &amp; DEVELOPMENT </t>
  </si>
  <si>
    <t>Already invested</t>
  </si>
  <si>
    <t>This will be step by step long term investment</t>
  </si>
  <si>
    <t>This will be step by step long term investment, Estimated for global costs Brand &amp; Logo registration and several regions including legal fees</t>
  </si>
  <si>
    <t>Traveling Expenses:-</t>
  </si>
  <si>
    <t>Approach for direct clarification and breakdown</t>
  </si>
  <si>
    <r>
      <rPr>
        <sz val="11"/>
        <color theme="5"/>
        <rFont val="Times New Roman"/>
        <family val="1"/>
      </rPr>
      <t>$ 1.5M  investments required.</t>
    </r>
    <r>
      <rPr>
        <sz val="11"/>
        <rFont val="Times New Roman"/>
        <family val="1"/>
      </rPr>
      <t xml:space="preserve"> Rest will be via GOV funds and Loans feasible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</si>
</sst>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0&quot; &quot;;&quot;-&quot;0&quot; &quot;;&quot;-&quot;#&quot; &quot;;@&quot; &quot;"/>
    <numFmt numFmtId="165" formatCode="_(* #,##0_);_(* \(#,##0\);_(* &quot;-&quot;??_);_(@_)"/>
    <numFmt numFmtId="166" formatCode="#,##0.00&quot; &quot;;&quot;-&quot;#,##0.00&quot; &quot;;&quot;-&quot;#&quot; &quot;;@&quot; &quot;"/>
    <numFmt numFmtId="167" formatCode="_ * #,##0.00_ ;_ * \-#,##0.00_ ;_ * &quot;-&quot;??_ ;_ @_ "/>
  </numFmts>
  <fonts count="28" x14ac:knownFonts="1">
    <font>
      <sz val="10"/>
      <name val="Arial"/>
      <charset val="134"/>
    </font>
    <font>
      <sz val="11"/>
      <name val="Times New Roman"/>
      <family val="1"/>
    </font>
    <font>
      <b/>
      <sz val="11"/>
      <name val="Times New Roman"/>
      <family val="1"/>
    </font>
    <font>
      <b/>
      <i/>
      <sz val="11"/>
      <name val="Times New Roman"/>
      <family val="1"/>
    </font>
    <font>
      <u/>
      <sz val="11"/>
      <name val="Times New Roman"/>
      <family val="1"/>
    </font>
    <font>
      <sz val="10"/>
      <name val="Times New Roman"/>
      <family val="1"/>
    </font>
    <font>
      <sz val="11"/>
      <color rgb="FFFF6600"/>
      <name val="Calibri"/>
      <family val="2"/>
    </font>
    <font>
      <b/>
      <sz val="11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b/>
      <i/>
      <sz val="10"/>
      <color indexed="8"/>
      <name val="Times New Roman"/>
      <family val="1"/>
    </font>
    <font>
      <u/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i/>
      <sz val="10"/>
      <color indexed="8"/>
      <name val="Times New Roman"/>
      <family val="1"/>
    </font>
    <font>
      <sz val="11"/>
      <color rgb="FF000000"/>
      <name val="Calibri"/>
      <family val="2"/>
    </font>
    <font>
      <b/>
      <u/>
      <sz val="11"/>
      <name val="Times New Roman"/>
      <family val="1"/>
    </font>
    <font>
      <sz val="10"/>
      <name val="Arial"/>
      <family val="2"/>
    </font>
    <font>
      <u/>
      <sz val="11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Arial"/>
      <family val="2"/>
    </font>
    <font>
      <sz val="10"/>
      <color rgb="FF000000"/>
      <name val="Tahoma"/>
      <family val="2"/>
    </font>
    <font>
      <b/>
      <sz val="10"/>
      <color rgb="FF000000"/>
      <name val="Tahoma"/>
      <family val="2"/>
    </font>
    <font>
      <sz val="14"/>
      <color rgb="FFFF0000"/>
      <name val="Times New Roman"/>
      <family val="1"/>
    </font>
    <font>
      <b/>
      <sz val="14"/>
      <color rgb="FFFF0000"/>
      <name val="Times New Roman"/>
      <family val="1"/>
    </font>
    <font>
      <b/>
      <sz val="10"/>
      <color rgb="FF000000"/>
      <name val="Arial"/>
      <family val="2"/>
    </font>
    <font>
      <sz val="11"/>
      <color theme="5"/>
      <name val="Times New Roman"/>
      <family val="1"/>
    </font>
    <font>
      <sz val="11"/>
      <color theme="5" tint="-0.249977111117893"/>
      <name val="Times New Roman"/>
      <family val="1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6" fillId="0" borderId="0" applyFont="0" applyFill="0" applyBorder="0" applyAlignment="0" applyProtection="0"/>
    <xf numFmtId="166" fontId="14" fillId="0" borderId="0"/>
  </cellStyleXfs>
  <cellXfs count="18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1" fillId="0" borderId="0" xfId="0" applyFont="1" applyAlignment="1">
      <alignment horizontal="right"/>
    </xf>
    <xf numFmtId="0" fontId="1" fillId="0" borderId="3" xfId="0" applyFont="1" applyBorder="1"/>
    <xf numFmtId="43" fontId="1" fillId="0" borderId="13" xfId="1" applyFont="1" applyBorder="1" applyAlignment="1">
      <alignment horizontal="righ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3" fontId="1" fillId="0" borderId="0" xfId="0" applyNumberFormat="1" applyFont="1"/>
    <xf numFmtId="0" fontId="1" fillId="0" borderId="1" xfId="0" applyFont="1" applyBorder="1"/>
    <xf numFmtId="0" fontId="1" fillId="0" borderId="12" xfId="0" applyFont="1" applyBorder="1" applyAlignment="1">
      <alignment horizontal="center"/>
    </xf>
    <xf numFmtId="0" fontId="1" fillId="0" borderId="4" xfId="0" applyFont="1" applyBorder="1"/>
    <xf numFmtId="0" fontId="1" fillId="0" borderId="7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43" fontId="1" fillId="0" borderId="0" xfId="1" applyFont="1" applyBorder="1"/>
    <xf numFmtId="0" fontId="1" fillId="0" borderId="6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5" xfId="0" applyFont="1" applyBorder="1"/>
    <xf numFmtId="0" fontId="1" fillId="0" borderId="5" xfId="0" applyFont="1" applyBorder="1" applyAlignment="1">
      <alignment horizontal="center"/>
    </xf>
    <xf numFmtId="0" fontId="1" fillId="0" borderId="14" xfId="0" applyFont="1" applyBorder="1"/>
    <xf numFmtId="0" fontId="1" fillId="0" borderId="9" xfId="0" applyFont="1" applyBorder="1"/>
    <xf numFmtId="43" fontId="1" fillId="0" borderId="12" xfId="1" applyFont="1" applyBorder="1"/>
    <xf numFmtId="43" fontId="1" fillId="0" borderId="13" xfId="1" applyFont="1" applyBorder="1"/>
    <xf numFmtId="43" fontId="1" fillId="0" borderId="9" xfId="1" applyFont="1" applyBorder="1"/>
    <xf numFmtId="43" fontId="1" fillId="0" borderId="6" xfId="1" applyFont="1" applyBorder="1"/>
    <xf numFmtId="0" fontId="1" fillId="0" borderId="7" xfId="0" applyFont="1" applyBorder="1"/>
    <xf numFmtId="43" fontId="1" fillId="0" borderId="8" xfId="1" applyFont="1" applyBorder="1"/>
    <xf numFmtId="43" fontId="1" fillId="0" borderId="3" xfId="1" applyFont="1" applyBorder="1"/>
    <xf numFmtId="43" fontId="1" fillId="0" borderId="14" xfId="1" applyFont="1" applyBorder="1"/>
    <xf numFmtId="0" fontId="1" fillId="0" borderId="12" xfId="0" applyFont="1" applyBorder="1"/>
    <xf numFmtId="0" fontId="1" fillId="0" borderId="13" xfId="0" applyFont="1" applyBorder="1"/>
    <xf numFmtId="2" fontId="1" fillId="0" borderId="6" xfId="0" applyNumberFormat="1" applyFont="1" applyBorder="1"/>
    <xf numFmtId="43" fontId="1" fillId="0" borderId="0" xfId="1" applyFont="1" applyAlignment="1">
      <alignment horizontal="center"/>
    </xf>
    <xf numFmtId="2" fontId="1" fillId="0" borderId="0" xfId="0" applyNumberFormat="1" applyFont="1"/>
    <xf numFmtId="37" fontId="1" fillId="0" borderId="0" xfId="1" applyNumberFormat="1" applyFont="1"/>
    <xf numFmtId="43" fontId="1" fillId="0" borderId="0" xfId="1" applyFont="1"/>
    <xf numFmtId="43" fontId="2" fillId="0" borderId="0" xfId="1" applyFont="1"/>
    <xf numFmtId="43" fontId="2" fillId="0" borderId="0" xfId="1" applyFont="1" applyAlignment="1">
      <alignment horizontal="left"/>
    </xf>
    <xf numFmtId="43" fontId="4" fillId="0" borderId="0" xfId="1" applyFont="1" applyAlignment="1">
      <alignment horizontal="left"/>
    </xf>
    <xf numFmtId="43" fontId="4" fillId="0" borderId="0" xfId="1" applyFont="1"/>
    <xf numFmtId="37" fontId="1" fillId="0" borderId="7" xfId="1" applyNumberFormat="1" applyFont="1" applyBorder="1" applyAlignment="1">
      <alignment horizontal="center" vertical="center"/>
    </xf>
    <xf numFmtId="37" fontId="1" fillId="0" borderId="7" xfId="1" applyNumberFormat="1" applyFont="1" applyBorder="1" applyAlignment="1">
      <alignment horizontal="center"/>
    </xf>
    <xf numFmtId="43" fontId="2" fillId="0" borderId="13" xfId="1" applyFont="1" applyBorder="1"/>
    <xf numFmtId="43" fontId="2" fillId="0" borderId="3" xfId="1" applyFont="1" applyBorder="1"/>
    <xf numFmtId="43" fontId="2" fillId="0" borderId="6" xfId="1" applyFont="1" applyBorder="1"/>
    <xf numFmtId="43" fontId="2" fillId="0" borderId="3" xfId="1" applyFont="1" applyBorder="1" applyAlignment="1">
      <alignment horizontal="left" indent="2"/>
    </xf>
    <xf numFmtId="43" fontId="2" fillId="0" borderId="0" xfId="1" applyFont="1" applyAlignment="1">
      <alignment horizontal="center"/>
    </xf>
    <xf numFmtId="37" fontId="1" fillId="0" borderId="4" xfId="1" applyNumberFormat="1" applyFont="1" applyBorder="1" applyAlignment="1">
      <alignment horizontal="center"/>
    </xf>
    <xf numFmtId="37" fontId="1" fillId="0" borderId="5" xfId="1" applyNumberFormat="1" applyFont="1" applyBorder="1" applyAlignment="1">
      <alignment horizontal="center"/>
    </xf>
    <xf numFmtId="43" fontId="1" fillId="0" borderId="13" xfId="1" applyFont="1" applyBorder="1" applyAlignment="1">
      <alignment horizontal="center"/>
    </xf>
    <xf numFmtId="43" fontId="1" fillId="0" borderId="12" xfId="1" applyFont="1" applyBorder="1" applyAlignment="1">
      <alignment horizontal="center"/>
    </xf>
    <xf numFmtId="164" fontId="0" fillId="0" borderId="0" xfId="2" applyNumberFormat="1" applyFont="1"/>
    <xf numFmtId="43" fontId="1" fillId="0" borderId="6" xfId="1" applyFont="1" applyBorder="1" applyAlignment="1">
      <alignment horizontal="right"/>
    </xf>
    <xf numFmtId="2" fontId="0" fillId="0" borderId="0" xfId="2" applyNumberFormat="1" applyFont="1"/>
    <xf numFmtId="164" fontId="6" fillId="0" borderId="0" xfId="2" applyNumberFormat="1" applyFont="1"/>
    <xf numFmtId="43" fontId="2" fillId="0" borderId="0" xfId="0" applyNumberFormat="1" applyFont="1"/>
    <xf numFmtId="0" fontId="1" fillId="0" borderId="6" xfId="0" applyFont="1" applyBorder="1" applyAlignment="1">
      <alignment horizontal="center" vertical="center"/>
    </xf>
    <xf numFmtId="0" fontId="1" fillId="0" borderId="6" xfId="0" applyFont="1" applyBorder="1"/>
    <xf numFmtId="43" fontId="1" fillId="0" borderId="0" xfId="1" applyFont="1" applyBorder="1" applyAlignment="1">
      <alignment horizontal="center"/>
    </xf>
    <xf numFmtId="0" fontId="1" fillId="0" borderId="3" xfId="0" applyFont="1" applyBorder="1" applyAlignment="1">
      <alignment horizontal="left" wrapText="1" indent="1"/>
    </xf>
    <xf numFmtId="9" fontId="1" fillId="0" borderId="0" xfId="0" applyNumberFormat="1" applyFont="1"/>
    <xf numFmtId="39" fontId="2" fillId="0" borderId="0" xfId="1" applyNumberFormat="1" applyFont="1" applyAlignment="1">
      <alignment horizontal="right"/>
    </xf>
    <xf numFmtId="43" fontId="1" fillId="0" borderId="0" xfId="1" applyFont="1" applyAlignment="1">
      <alignment horizontal="left"/>
    </xf>
    <xf numFmtId="0" fontId="2" fillId="0" borderId="10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167" fontId="1" fillId="0" borderId="0" xfId="0" applyNumberFormat="1" applyFont="1"/>
    <xf numFmtId="167" fontId="1" fillId="0" borderId="13" xfId="0" applyNumberFormat="1" applyFont="1" applyBorder="1"/>
    <xf numFmtId="43" fontId="2" fillId="0" borderId="0" xfId="0" applyNumberFormat="1" applyFont="1" applyAlignment="1">
      <alignment horizontal="center"/>
    </xf>
    <xf numFmtId="167" fontId="1" fillId="0" borderId="6" xfId="0" applyNumberFormat="1" applyFont="1" applyBorder="1"/>
    <xf numFmtId="165" fontId="2" fillId="0" borderId="0" xfId="1" applyNumberFormat="1" applyFont="1" applyAlignment="1">
      <alignment horizontal="right"/>
    </xf>
    <xf numFmtId="43" fontId="1" fillId="0" borderId="0" xfId="0" applyNumberFormat="1" applyFont="1" applyAlignment="1">
      <alignment horizontal="left"/>
    </xf>
    <xf numFmtId="47" fontId="1" fillId="0" borderId="0" xfId="0" applyNumberFormat="1" applyFont="1"/>
    <xf numFmtId="0" fontId="7" fillId="0" borderId="0" xfId="0" applyFont="1"/>
    <xf numFmtId="0" fontId="8" fillId="0" borderId="0" xfId="0" applyFont="1"/>
    <xf numFmtId="1" fontId="1" fillId="0" borderId="0" xfId="0" applyNumberFormat="1" applyFont="1"/>
    <xf numFmtId="0" fontId="2" fillId="0" borderId="8" xfId="0" applyFont="1" applyBorder="1" applyAlignment="1">
      <alignment horizontal="left"/>
    </xf>
    <xf numFmtId="1" fontId="1" fillId="0" borderId="8" xfId="0" applyNumberFormat="1" applyFont="1" applyBorder="1" applyAlignment="1">
      <alignment horizontal="center"/>
    </xf>
    <xf numFmtId="1" fontId="1" fillId="0" borderId="9" xfId="0" applyNumberFormat="1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1" fontId="1" fillId="0" borderId="14" xfId="0" applyNumberFormat="1" applyFont="1" applyBorder="1" applyAlignment="1">
      <alignment horizontal="center"/>
    </xf>
    <xf numFmtId="0" fontId="9" fillId="0" borderId="0" xfId="0" applyFont="1"/>
    <xf numFmtId="0" fontId="10" fillId="0" borderId="0" xfId="0" applyFont="1"/>
    <xf numFmtId="0" fontId="11" fillId="0" borderId="0" xfId="0" applyFont="1" applyAlignment="1">
      <alignment horizontal="left"/>
    </xf>
    <xf numFmtId="0" fontId="12" fillId="0" borderId="0" xfId="0" applyFont="1"/>
    <xf numFmtId="0" fontId="13" fillId="0" borderId="0" xfId="0" applyFont="1"/>
    <xf numFmtId="0" fontId="9" fillId="0" borderId="0" xfId="0" applyFont="1" applyAlignment="1">
      <alignment horizontal="left"/>
    </xf>
    <xf numFmtId="16" fontId="1" fillId="0" borderId="0" xfId="0" applyNumberFormat="1" applyFont="1"/>
    <xf numFmtId="37" fontId="1" fillId="0" borderId="6" xfId="1" applyNumberFormat="1" applyFont="1" applyBorder="1" applyAlignment="1">
      <alignment horizontal="center"/>
    </xf>
    <xf numFmtId="165" fontId="1" fillId="0" borderId="13" xfId="1" applyNumberFormat="1" applyFont="1" applyBorder="1" applyAlignment="1">
      <alignment horizontal="right"/>
    </xf>
    <xf numFmtId="0" fontId="1" fillId="0" borderId="13" xfId="0" applyFont="1" applyBorder="1" applyAlignment="1">
      <alignment horizontal="center" wrapText="1"/>
    </xf>
    <xf numFmtId="0" fontId="17" fillId="0" borderId="13" xfId="0" applyFont="1" applyBorder="1"/>
    <xf numFmtId="0" fontId="17" fillId="0" borderId="3" xfId="0" applyFont="1" applyBorder="1"/>
    <xf numFmtId="0" fontId="18" fillId="0" borderId="13" xfId="0" applyFont="1" applyBorder="1" applyAlignment="1">
      <alignment wrapText="1"/>
    </xf>
    <xf numFmtId="0" fontId="18" fillId="0" borderId="13" xfId="0" applyFont="1" applyBorder="1"/>
    <xf numFmtId="0" fontId="19" fillId="0" borderId="13" xfId="0" applyFont="1" applyBorder="1"/>
    <xf numFmtId="0" fontId="19" fillId="0" borderId="0" xfId="0" applyFont="1"/>
    <xf numFmtId="37" fontId="1" fillId="0" borderId="12" xfId="1" applyNumberFormat="1" applyFont="1" applyBorder="1" applyAlignment="1">
      <alignment horizontal="center" vertical="center"/>
    </xf>
    <xf numFmtId="37" fontId="1" fillId="0" borderId="4" xfId="1" applyNumberFormat="1" applyFont="1" applyBorder="1" applyAlignment="1">
      <alignment horizontal="center" vertical="center"/>
    </xf>
    <xf numFmtId="165" fontId="19" fillId="0" borderId="13" xfId="1" applyNumberFormat="1" applyFont="1" applyBorder="1" applyAlignment="1">
      <alignment horizontal="right"/>
    </xf>
    <xf numFmtId="0" fontId="18" fillId="0" borderId="0" xfId="0" applyFont="1"/>
    <xf numFmtId="0" fontId="18" fillId="0" borderId="13" xfId="0" applyFont="1" applyBorder="1" applyAlignment="1">
      <alignment horizontal="left" wrapText="1"/>
    </xf>
    <xf numFmtId="0" fontId="18" fillId="0" borderId="13" xfId="0" applyFont="1" applyBorder="1" applyAlignment="1">
      <alignment horizontal="left" vertical="top"/>
    </xf>
    <xf numFmtId="0" fontId="19" fillId="0" borderId="3" xfId="0" applyFont="1" applyBorder="1"/>
    <xf numFmtId="0" fontId="18" fillId="0" borderId="3" xfId="0" applyFont="1" applyBorder="1"/>
    <xf numFmtId="165" fontId="1" fillId="0" borderId="13" xfId="1" applyNumberFormat="1" applyFont="1" applyBorder="1" applyAlignment="1">
      <alignment horizontal="center"/>
    </xf>
    <xf numFmtId="165" fontId="1" fillId="0" borderId="6" xfId="1" applyNumberFormat="1" applyFont="1" applyBorder="1" applyAlignment="1">
      <alignment horizontal="center"/>
    </xf>
    <xf numFmtId="165" fontId="18" fillId="0" borderId="13" xfId="1" applyNumberFormat="1" applyFont="1" applyBorder="1" applyAlignment="1">
      <alignment horizontal="center"/>
    </xf>
    <xf numFmtId="0" fontId="1" fillId="0" borderId="17" xfId="0" applyFont="1" applyBorder="1"/>
    <xf numFmtId="165" fontId="1" fillId="0" borderId="16" xfId="1" applyNumberFormat="1" applyFont="1" applyBorder="1" applyAlignment="1">
      <alignment horizontal="center"/>
    </xf>
    <xf numFmtId="43" fontId="1" fillId="0" borderId="16" xfId="1" applyFont="1" applyBorder="1" applyAlignment="1">
      <alignment horizontal="center"/>
    </xf>
    <xf numFmtId="0" fontId="20" fillId="0" borderId="0" xfId="0" applyFont="1"/>
    <xf numFmtId="0" fontId="20" fillId="0" borderId="6" xfId="0" applyFont="1" applyBorder="1"/>
    <xf numFmtId="0" fontId="20" fillId="0" borderId="6" xfId="0" applyFont="1" applyBorder="1" applyAlignment="1">
      <alignment horizontal="center"/>
    </xf>
    <xf numFmtId="165" fontId="1" fillId="0" borderId="6" xfId="1" applyNumberFormat="1" applyFont="1" applyBorder="1" applyAlignment="1">
      <alignment horizontal="right"/>
    </xf>
    <xf numFmtId="0" fontId="19" fillId="0" borderId="0" xfId="0" applyFont="1" applyAlignment="1">
      <alignment horizontal="right"/>
    </xf>
    <xf numFmtId="165" fontId="19" fillId="0" borderId="13" xfId="1" applyNumberFormat="1" applyFont="1" applyBorder="1" applyAlignment="1">
      <alignment horizontal="center"/>
    </xf>
    <xf numFmtId="43" fontId="18" fillId="0" borderId="0" xfId="1" applyFont="1"/>
    <xf numFmtId="43" fontId="19" fillId="0" borderId="13" xfId="1" applyFont="1" applyBorder="1"/>
    <xf numFmtId="43" fontId="1" fillId="0" borderId="13" xfId="1" applyFont="1" applyBorder="1" applyAlignment="1">
      <alignment horizontal="left"/>
    </xf>
    <xf numFmtId="165" fontId="1" fillId="0" borderId="3" xfId="1" applyNumberFormat="1" applyFont="1" applyBorder="1" applyAlignment="1">
      <alignment horizontal="center"/>
    </xf>
    <xf numFmtId="43" fontId="18" fillId="0" borderId="13" xfId="1" applyFont="1" applyBorder="1"/>
    <xf numFmtId="43" fontId="19" fillId="0" borderId="0" xfId="1" applyFont="1" applyAlignment="1">
      <alignment horizontal="center"/>
    </xf>
    <xf numFmtId="43" fontId="19" fillId="0" borderId="13" xfId="1" applyFont="1" applyBorder="1" applyAlignment="1">
      <alignment horizontal="left"/>
    </xf>
    <xf numFmtId="165" fontId="19" fillId="0" borderId="3" xfId="1" applyNumberFormat="1" applyFont="1" applyBorder="1" applyAlignment="1">
      <alignment horizontal="center"/>
    </xf>
    <xf numFmtId="43" fontId="18" fillId="0" borderId="3" xfId="1" applyFont="1" applyBorder="1" applyAlignment="1">
      <alignment horizontal="left"/>
    </xf>
    <xf numFmtId="43" fontId="18" fillId="0" borderId="3" xfId="1" applyFont="1" applyBorder="1"/>
    <xf numFmtId="43" fontId="2" fillId="0" borderId="0" xfId="1" applyFont="1" applyBorder="1"/>
    <xf numFmtId="165" fontId="19" fillId="0" borderId="0" xfId="1" applyNumberFormat="1" applyFont="1" applyBorder="1" applyAlignment="1">
      <alignment horizontal="center"/>
    </xf>
    <xf numFmtId="165" fontId="1" fillId="0" borderId="3" xfId="1" applyNumberFormat="1" applyFont="1" applyBorder="1"/>
    <xf numFmtId="165" fontId="1" fillId="0" borderId="12" xfId="1" applyNumberFormat="1" applyFont="1" applyBorder="1"/>
    <xf numFmtId="165" fontId="1" fillId="0" borderId="6" xfId="1" applyNumberFormat="1" applyFont="1" applyBorder="1"/>
    <xf numFmtId="165" fontId="1" fillId="0" borderId="13" xfId="1" applyNumberFormat="1" applyFont="1" applyBorder="1"/>
    <xf numFmtId="165" fontId="19" fillId="0" borderId="6" xfId="1" applyNumberFormat="1" applyFont="1" applyBorder="1" applyAlignment="1">
      <alignment horizontal="center"/>
    </xf>
    <xf numFmtId="0" fontId="18" fillId="0" borderId="0" xfId="0" applyFont="1" applyAlignment="1">
      <alignment horizontal="left"/>
    </xf>
    <xf numFmtId="0" fontId="19" fillId="0" borderId="0" xfId="0" applyFont="1" applyAlignment="1">
      <alignment horizontal="center"/>
    </xf>
    <xf numFmtId="165" fontId="1" fillId="0" borderId="1" xfId="1" applyNumberFormat="1" applyFont="1" applyBorder="1"/>
    <xf numFmtId="165" fontId="1" fillId="0" borderId="4" xfId="1" applyNumberFormat="1" applyFont="1" applyBorder="1"/>
    <xf numFmtId="0" fontId="19" fillId="0" borderId="3" xfId="0" applyFont="1" applyBorder="1" applyAlignment="1">
      <alignment horizontal="left" indent="1"/>
    </xf>
    <xf numFmtId="165" fontId="1" fillId="0" borderId="3" xfId="0" applyNumberFormat="1" applyFont="1" applyBorder="1"/>
    <xf numFmtId="165" fontId="18" fillId="0" borderId="3" xfId="0" applyNumberFormat="1" applyFont="1" applyBorder="1"/>
    <xf numFmtId="165" fontId="18" fillId="0" borderId="13" xfId="1" applyNumberFormat="1" applyFont="1" applyBorder="1" applyAlignment="1">
      <alignment horizontal="right"/>
    </xf>
    <xf numFmtId="165" fontId="1" fillId="0" borderId="13" xfId="0" applyNumberFormat="1" applyFont="1" applyBorder="1"/>
    <xf numFmtId="165" fontId="18" fillId="0" borderId="13" xfId="0" applyNumberFormat="1" applyFont="1" applyBorder="1"/>
    <xf numFmtId="165" fontId="1" fillId="0" borderId="7" xfId="1" applyNumberFormat="1" applyFont="1" applyBorder="1" applyAlignment="1">
      <alignment horizontal="right"/>
    </xf>
    <xf numFmtId="43" fontId="18" fillId="0" borderId="0" xfId="1" applyFont="1" applyAlignment="1">
      <alignment horizontal="left"/>
    </xf>
    <xf numFmtId="165" fontId="1" fillId="0" borderId="7" xfId="1" applyNumberFormat="1" applyFont="1" applyBorder="1" applyAlignment="1">
      <alignment horizontal="center"/>
    </xf>
    <xf numFmtId="43" fontId="2" fillId="0" borderId="4" xfId="1" applyFont="1" applyBorder="1"/>
    <xf numFmtId="165" fontId="19" fillId="0" borderId="18" xfId="1" applyNumberFormat="1" applyFont="1" applyBorder="1" applyAlignment="1">
      <alignment horizontal="center"/>
    </xf>
    <xf numFmtId="165" fontId="19" fillId="0" borderId="19" xfId="1" applyNumberFormat="1" applyFont="1" applyBorder="1" applyAlignment="1">
      <alignment horizontal="center"/>
    </xf>
    <xf numFmtId="165" fontId="19" fillId="0" borderId="20" xfId="1" applyNumberFormat="1" applyFont="1" applyBorder="1" applyAlignment="1">
      <alignment horizontal="center"/>
    </xf>
    <xf numFmtId="165" fontId="1" fillId="0" borderId="7" xfId="1" applyNumberFormat="1" applyFont="1" applyBorder="1"/>
    <xf numFmtId="0" fontId="4" fillId="0" borderId="3" xfId="0" applyFont="1" applyBorder="1"/>
    <xf numFmtId="43" fontId="1" fillId="0" borderId="0" xfId="0" applyNumberFormat="1" applyFont="1" applyAlignment="1">
      <alignment horizontal="center"/>
    </xf>
    <xf numFmtId="0" fontId="23" fillId="0" borderId="0" xfId="0" applyFont="1"/>
    <xf numFmtId="164" fontId="16" fillId="0" borderId="0" xfId="2" applyNumberFormat="1" applyFont="1"/>
    <xf numFmtId="43" fontId="2" fillId="0" borderId="6" xfId="1" applyFont="1" applyBorder="1" applyAlignment="1">
      <alignment horizontal="center"/>
    </xf>
    <xf numFmtId="165" fontId="2" fillId="0" borderId="0" xfId="0" applyNumberFormat="1" applyFont="1"/>
    <xf numFmtId="0" fontId="27" fillId="0" borderId="0" xfId="0" applyFont="1"/>
    <xf numFmtId="0" fontId="5" fillId="0" borderId="0" xfId="0" applyFont="1" applyAlignment="1">
      <alignment horizontal="left" wrapText="1"/>
    </xf>
    <xf numFmtId="0" fontId="5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" fontId="1" fillId="0" borderId="12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6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9" fillId="0" borderId="10" xfId="0" applyFont="1" applyBorder="1" applyAlignment="1">
      <alignment horizontal="center"/>
    </xf>
    <xf numFmtId="37" fontId="1" fillId="0" borderId="12" xfId="1" applyNumberFormat="1" applyFont="1" applyBorder="1" applyAlignment="1">
      <alignment horizontal="center" vertical="center"/>
    </xf>
    <xf numFmtId="37" fontId="1" fillId="0" borderId="7" xfId="1" applyNumberFormat="1" applyFont="1" applyBorder="1" applyAlignment="1">
      <alignment horizontal="center" vertical="center"/>
    </xf>
    <xf numFmtId="43" fontId="1" fillId="0" borderId="6" xfId="1" applyFont="1" applyBorder="1" applyAlignment="1">
      <alignment horizontal="center"/>
    </xf>
    <xf numFmtId="43" fontId="2" fillId="0" borderId="0" xfId="1" applyFont="1" applyAlignment="1">
      <alignment horizontal="center"/>
    </xf>
    <xf numFmtId="37" fontId="1" fillId="0" borderId="1" xfId="1" applyNumberFormat="1" applyFont="1" applyBorder="1" applyAlignment="1">
      <alignment horizontal="center" vertical="center"/>
    </xf>
    <xf numFmtId="37" fontId="1" fillId="0" borderId="4" xfId="1" applyNumberFormat="1" applyFont="1" applyBorder="1" applyAlignment="1">
      <alignment horizontal="center" vertical="center"/>
    </xf>
    <xf numFmtId="37" fontId="1" fillId="0" borderId="1" xfId="1" applyNumberFormat="1" applyFont="1" applyBorder="1" applyAlignment="1">
      <alignment horizontal="center"/>
    </xf>
    <xf numFmtId="37" fontId="1" fillId="0" borderId="2" xfId="1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</cellXfs>
  <cellStyles count="3">
    <cellStyle name="Comma" xfId="1" builtinId="3"/>
    <cellStyle name="Excel_BuiltIn_Comma" xfId="2" xr:uid="{00000000-0005-0000-0000-000001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G30"/>
  <sheetViews>
    <sheetView workbookViewId="0">
      <selection activeCell="C5" sqref="C5"/>
    </sheetView>
  </sheetViews>
  <sheetFormatPr baseColWidth="10" defaultColWidth="8.83203125" defaultRowHeight="13" x14ac:dyDescent="0.15"/>
  <cols>
    <col min="1" max="1" width="42.5" style="83" customWidth="1"/>
    <col min="2" max="2" width="22.83203125" style="83" customWidth="1"/>
    <col min="3" max="6" width="12.1640625" style="83" customWidth="1"/>
    <col min="7" max="7" width="16.5" style="83" customWidth="1"/>
    <col min="8" max="16384" width="8.83203125" style="83"/>
  </cols>
  <sheetData>
    <row r="2" spans="1:3" x14ac:dyDescent="0.15">
      <c r="A2" s="84" t="s">
        <v>0</v>
      </c>
    </row>
    <row r="3" spans="1:3" x14ac:dyDescent="0.15">
      <c r="A3" s="83" t="s">
        <v>95</v>
      </c>
    </row>
    <row r="8" spans="1:3" x14ac:dyDescent="0.15">
      <c r="C8" s="85"/>
    </row>
    <row r="10" spans="1:3" x14ac:dyDescent="0.15">
      <c r="A10" s="86" t="s">
        <v>1</v>
      </c>
      <c r="C10" s="87"/>
    </row>
    <row r="11" spans="1:3" x14ac:dyDescent="0.15">
      <c r="A11" s="83" t="s">
        <v>2</v>
      </c>
    </row>
    <row r="13" spans="1:3" x14ac:dyDescent="0.15">
      <c r="C13" s="87"/>
    </row>
    <row r="14" spans="1:3" x14ac:dyDescent="0.15">
      <c r="C14" s="87"/>
    </row>
    <row r="16" spans="1:3" x14ac:dyDescent="0.15">
      <c r="A16" s="88"/>
    </row>
    <row r="18" spans="1:7" x14ac:dyDescent="0.15">
      <c r="A18" s="88"/>
      <c r="B18" s="88"/>
    </row>
    <row r="20" spans="1:7" x14ac:dyDescent="0.15">
      <c r="A20" s="86"/>
    </row>
    <row r="21" spans="1:7" ht="15.75" customHeight="1" x14ac:dyDescent="0.15"/>
    <row r="22" spans="1:7" ht="42" customHeight="1" x14ac:dyDescent="0.15">
      <c r="A22" s="161"/>
      <c r="B22" s="161"/>
      <c r="C22" s="161"/>
      <c r="D22" s="161"/>
      <c r="E22" s="161"/>
      <c r="F22" s="161"/>
      <c r="G22" s="161"/>
    </row>
    <row r="23" spans="1:7" x14ac:dyDescent="0.15">
      <c r="A23" s="161"/>
      <c r="B23" s="161"/>
      <c r="C23" s="161"/>
      <c r="D23" s="161"/>
      <c r="E23" s="161"/>
      <c r="F23" s="161"/>
      <c r="G23" s="161"/>
    </row>
    <row r="24" spans="1:7" x14ac:dyDescent="0.15">
      <c r="A24" s="162"/>
      <c r="B24" s="162"/>
      <c r="C24" s="162"/>
      <c r="D24" s="162"/>
      <c r="E24" s="162"/>
      <c r="F24" s="162"/>
      <c r="G24" s="162"/>
    </row>
    <row r="27" spans="1:7" x14ac:dyDescent="0.15">
      <c r="A27" s="88"/>
    </row>
    <row r="29" spans="1:7" x14ac:dyDescent="0.15">
      <c r="E29" s="86"/>
    </row>
    <row r="30" spans="1:7" x14ac:dyDescent="0.15">
      <c r="E30" s="86"/>
    </row>
  </sheetData>
  <mergeCells count="3">
    <mergeCell ref="A22:G22"/>
    <mergeCell ref="A23:G23"/>
    <mergeCell ref="A24:G24"/>
  </mergeCells>
  <printOptions horizontalCentered="1" verticalCentered="1"/>
  <pageMargins left="0.56999999999999995" right="0.25" top="1.18" bottom="0.95" header="0.2" footer="0.5"/>
  <pageSetup scale="51" orientation="portrait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9"/>
  <sheetViews>
    <sheetView workbookViewId="0">
      <selection activeCell="C19" sqref="C19"/>
    </sheetView>
  </sheetViews>
  <sheetFormatPr baseColWidth="10" defaultColWidth="9.1640625" defaultRowHeight="14" x14ac:dyDescent="0.15"/>
  <cols>
    <col min="1" max="1" width="5.5" style="7" customWidth="1"/>
    <col min="2" max="2" width="60" style="1" customWidth="1"/>
    <col min="3" max="3" width="8.83203125" style="77" customWidth="1"/>
    <col min="4" max="16384" width="9.1640625" style="1"/>
  </cols>
  <sheetData>
    <row r="1" spans="1:3" ht="15.75" customHeight="1" x14ac:dyDescent="0.15"/>
    <row r="2" spans="1:3" x14ac:dyDescent="0.15">
      <c r="A2" s="163" t="str">
        <f>'Cover Page'!A3</f>
        <v>TRESBIZZ</v>
      </c>
      <c r="B2" s="163"/>
      <c r="C2" s="163"/>
    </row>
    <row r="3" spans="1:3" x14ac:dyDescent="0.15">
      <c r="A3" s="8"/>
      <c r="B3" s="8"/>
      <c r="C3" s="8"/>
    </row>
    <row r="4" spans="1:3" x14ac:dyDescent="0.15">
      <c r="B4" s="8" t="s">
        <v>3</v>
      </c>
    </row>
    <row r="5" spans="1:3" x14ac:dyDescent="0.15">
      <c r="A5" s="164" t="s">
        <v>4</v>
      </c>
      <c r="B5" s="164" t="s">
        <v>5</v>
      </c>
      <c r="C5" s="166" t="s">
        <v>6</v>
      </c>
    </row>
    <row r="6" spans="1:3" x14ac:dyDescent="0.15">
      <c r="A6" s="165"/>
      <c r="B6" s="165"/>
      <c r="C6" s="167"/>
    </row>
    <row r="7" spans="1:3" x14ac:dyDescent="0.15">
      <c r="A7" s="11"/>
      <c r="B7" s="78" t="s">
        <v>7</v>
      </c>
      <c r="C7" s="79"/>
    </row>
    <row r="8" spans="1:3" x14ac:dyDescent="0.15">
      <c r="A8" s="14">
        <v>1</v>
      </c>
      <c r="B8" s="21" t="s">
        <v>8</v>
      </c>
      <c r="C8" s="80"/>
    </row>
    <row r="9" spans="1:3" x14ac:dyDescent="0.15">
      <c r="A9" s="14">
        <v>2</v>
      </c>
      <c r="B9" s="21" t="s">
        <v>9</v>
      </c>
      <c r="C9" s="80"/>
    </row>
    <row r="10" spans="1:3" x14ac:dyDescent="0.15">
      <c r="A10" s="14">
        <v>3</v>
      </c>
      <c r="B10" s="21" t="s">
        <v>10</v>
      </c>
      <c r="C10" s="80"/>
    </row>
    <row r="11" spans="1:3" x14ac:dyDescent="0.15">
      <c r="A11" s="14">
        <v>4</v>
      </c>
      <c r="B11" s="21" t="s">
        <v>167</v>
      </c>
      <c r="C11" s="80"/>
    </row>
    <row r="12" spans="1:3" x14ac:dyDescent="0.15">
      <c r="A12" s="14">
        <v>5</v>
      </c>
      <c r="B12" s="21" t="s">
        <v>11</v>
      </c>
      <c r="C12" s="80"/>
    </row>
    <row r="13" spans="1:3" x14ac:dyDescent="0.15">
      <c r="A13" s="14"/>
      <c r="B13" s="21"/>
      <c r="C13" s="80"/>
    </row>
    <row r="14" spans="1:3" x14ac:dyDescent="0.15">
      <c r="A14" s="14"/>
      <c r="B14" s="81" t="s">
        <v>12</v>
      </c>
      <c r="C14" s="80"/>
    </row>
    <row r="15" spans="1:3" x14ac:dyDescent="0.15">
      <c r="A15" s="14">
        <v>1</v>
      </c>
      <c r="B15" s="21" t="s">
        <v>13</v>
      </c>
      <c r="C15" s="80"/>
    </row>
    <row r="16" spans="1:3" x14ac:dyDescent="0.15">
      <c r="A16" s="14">
        <v>2</v>
      </c>
      <c r="B16" s="21" t="s">
        <v>14</v>
      </c>
      <c r="C16" s="80"/>
    </row>
    <row r="17" spans="1:3" x14ac:dyDescent="0.15">
      <c r="A17" s="14">
        <v>3</v>
      </c>
      <c r="B17" s="21" t="s">
        <v>15</v>
      </c>
      <c r="C17" s="80"/>
    </row>
    <row r="18" spans="1:3" x14ac:dyDescent="0.15">
      <c r="A18" s="14">
        <v>4</v>
      </c>
      <c r="B18" s="21" t="s">
        <v>16</v>
      </c>
      <c r="C18" s="80"/>
    </row>
    <row r="19" spans="1:3" x14ac:dyDescent="0.15">
      <c r="A19" s="13"/>
      <c r="B19" s="20"/>
      <c r="C19" s="82"/>
    </row>
  </sheetData>
  <mergeCells count="4">
    <mergeCell ref="A2:C2"/>
    <mergeCell ref="A5:A6"/>
    <mergeCell ref="B5:B6"/>
    <mergeCell ref="C5:C6"/>
  </mergeCells>
  <printOptions horizontalCentered="1" verticalCentered="1"/>
  <pageMargins left="0.95" right="2.0699999999999998" top="0.87" bottom="5.79" header="0.5" footer="0.5"/>
  <pageSetup scale="95" orientation="portrait" verticalDpi="144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48"/>
  <sheetViews>
    <sheetView topLeftCell="A7" workbookViewId="0">
      <selection activeCell="E24" sqref="E24"/>
    </sheetView>
  </sheetViews>
  <sheetFormatPr baseColWidth="10" defaultColWidth="19.6640625" defaultRowHeight="14" x14ac:dyDescent="0.15"/>
  <cols>
    <col min="1" max="1" width="11.5" style="1" customWidth="1"/>
    <col min="2" max="2" width="24.5" style="1" customWidth="1"/>
    <col min="3" max="3" width="5.5" style="1" customWidth="1"/>
    <col min="4" max="4" width="11.6640625" style="1" customWidth="1"/>
    <col min="5" max="5" width="14.5" style="1" customWidth="1"/>
    <col min="6" max="6" width="12.5" style="1" customWidth="1"/>
    <col min="7" max="7" width="16.5" style="1" customWidth="1"/>
    <col min="8" max="8" width="19.6640625" style="1" customWidth="1"/>
    <col min="9" max="9" width="9" style="1" customWidth="1"/>
    <col min="10" max="10" width="19.6640625" style="1" customWidth="1"/>
    <col min="11" max="11" width="11.5" style="1" customWidth="1"/>
    <col min="12" max="12" width="19.6640625" style="1" customWidth="1"/>
    <col min="13" max="13" width="6" style="1" customWidth="1"/>
    <col min="14" max="16384" width="19.6640625" style="1"/>
  </cols>
  <sheetData>
    <row r="1" spans="1:4" x14ac:dyDescent="0.15">
      <c r="A1" s="2" t="str">
        <f>Index!A2</f>
        <v>TRESBIZZ</v>
      </c>
    </row>
    <row r="2" spans="1:4" x14ac:dyDescent="0.15">
      <c r="A2" s="2" t="s">
        <v>17</v>
      </c>
    </row>
    <row r="3" spans="1:4" x14ac:dyDescent="0.15">
      <c r="A3" s="2" t="s">
        <v>18</v>
      </c>
    </row>
    <row r="4" spans="1:4" x14ac:dyDescent="0.15">
      <c r="A4" s="7">
        <v>1</v>
      </c>
      <c r="B4" s="1" t="s">
        <v>19</v>
      </c>
      <c r="C4" s="8" t="s">
        <v>20</v>
      </c>
      <c r="D4" s="2" t="str">
        <f>'Cover Page'!A3</f>
        <v>TRESBIZZ</v>
      </c>
    </row>
    <row r="5" spans="1:4" x14ac:dyDescent="0.15">
      <c r="A5" s="7">
        <v>2</v>
      </c>
      <c r="B5" s="1" t="s">
        <v>2</v>
      </c>
      <c r="C5" s="8" t="s">
        <v>20</v>
      </c>
      <c r="D5" s="75" t="s">
        <v>21</v>
      </c>
    </row>
    <row r="6" spans="1:4" x14ac:dyDescent="0.15">
      <c r="A6" s="7"/>
      <c r="C6" s="8"/>
      <c r="D6" s="76" t="str">
        <f>'Cover Page'!A11</f>
        <v>Address</v>
      </c>
    </row>
    <row r="7" spans="1:4" x14ac:dyDescent="0.15">
      <c r="A7" s="7"/>
      <c r="C7" s="8"/>
      <c r="D7" s="76">
        <f>'Cover Page'!A12</f>
        <v>0</v>
      </c>
    </row>
    <row r="8" spans="1:4" x14ac:dyDescent="0.15">
      <c r="A8" s="7"/>
      <c r="C8" s="8"/>
      <c r="D8" s="76">
        <f>'Cover Page'!A13</f>
        <v>0</v>
      </c>
    </row>
    <row r="9" spans="1:4" x14ac:dyDescent="0.15">
      <c r="A9" s="7"/>
      <c r="C9" s="8"/>
    </row>
    <row r="10" spans="1:4" x14ac:dyDescent="0.15">
      <c r="A10" s="7"/>
      <c r="C10" s="8"/>
    </row>
    <row r="11" spans="1:4" x14ac:dyDescent="0.15">
      <c r="A11" s="7">
        <v>3</v>
      </c>
      <c r="B11" s="1" t="s">
        <v>22</v>
      </c>
      <c r="C11" s="8" t="s">
        <v>20</v>
      </c>
      <c r="D11" s="1" t="s">
        <v>93</v>
      </c>
    </row>
    <row r="12" spans="1:4" x14ac:dyDescent="0.15">
      <c r="A12" s="7"/>
      <c r="C12" s="8"/>
    </row>
    <row r="13" spans="1:4" x14ac:dyDescent="0.15">
      <c r="A13" s="7">
        <v>4</v>
      </c>
      <c r="B13" s="1" t="s">
        <v>23</v>
      </c>
      <c r="C13" s="8" t="s">
        <v>20</v>
      </c>
      <c r="D13" s="1" t="s">
        <v>92</v>
      </c>
    </row>
    <row r="14" spans="1:4" x14ac:dyDescent="0.15">
      <c r="A14" s="7"/>
      <c r="C14" s="8" t="s">
        <v>20</v>
      </c>
    </row>
    <row r="15" spans="1:4" x14ac:dyDescent="0.15">
      <c r="A15" s="7"/>
      <c r="D15" s="7"/>
    </row>
    <row r="16" spans="1:4" x14ac:dyDescent="0.15">
      <c r="A16" s="7"/>
      <c r="D16" s="7"/>
    </row>
    <row r="17" spans="1:9" x14ac:dyDescent="0.15">
      <c r="A17" s="7">
        <v>5</v>
      </c>
      <c r="B17" s="2" t="s">
        <v>24</v>
      </c>
      <c r="C17" s="8" t="s">
        <v>20</v>
      </c>
      <c r="E17" s="117" t="s">
        <v>147</v>
      </c>
    </row>
    <row r="18" spans="1:9" x14ac:dyDescent="0.15">
      <c r="A18" s="7"/>
      <c r="B18" s="64" t="s">
        <v>25</v>
      </c>
      <c r="C18" s="65"/>
      <c r="D18" s="65"/>
      <c r="E18" s="66" t="s">
        <v>26</v>
      </c>
    </row>
    <row r="19" spans="1:9" x14ac:dyDescent="0.15">
      <c r="A19" s="7"/>
      <c r="B19" s="105" t="s">
        <v>171</v>
      </c>
      <c r="C19" s="8"/>
      <c r="D19" s="59"/>
      <c r="E19" s="50">
        <v>3400000</v>
      </c>
      <c r="G19" s="9"/>
    </row>
    <row r="20" spans="1:9" x14ac:dyDescent="0.15">
      <c r="A20" s="7"/>
      <c r="B20" s="105" t="s">
        <v>172</v>
      </c>
      <c r="D20" s="59"/>
      <c r="E20" s="118">
        <v>5000000</v>
      </c>
      <c r="G20" s="9"/>
    </row>
    <row r="21" spans="1:9" x14ac:dyDescent="0.15">
      <c r="A21" s="7"/>
      <c r="B21" s="5" t="s">
        <v>94</v>
      </c>
      <c r="D21" s="59"/>
      <c r="E21" s="118">
        <v>5000000</v>
      </c>
      <c r="F21" s="1" t="s">
        <v>190</v>
      </c>
      <c r="G21" s="9"/>
      <c r="I21" s="59"/>
    </row>
    <row r="22" spans="1:9" x14ac:dyDescent="0.15">
      <c r="A22" s="7"/>
      <c r="B22" s="105" t="s">
        <v>146</v>
      </c>
      <c r="E22" s="118">
        <v>500000</v>
      </c>
      <c r="F22" s="1" t="s">
        <v>191</v>
      </c>
    </row>
    <row r="23" spans="1:9" x14ac:dyDescent="0.15">
      <c r="A23" s="7"/>
      <c r="B23" s="105" t="s">
        <v>173</v>
      </c>
      <c r="E23" s="118">
        <v>600000</v>
      </c>
      <c r="F23" s="1" t="s">
        <v>189</v>
      </c>
    </row>
    <row r="24" spans="1:9" x14ac:dyDescent="0.15">
      <c r="A24" s="7"/>
      <c r="B24" s="168" t="s">
        <v>26</v>
      </c>
      <c r="C24" s="169"/>
      <c r="D24" s="170"/>
      <c r="E24" s="135">
        <f>SUM(E19:E23)</f>
        <v>14500000</v>
      </c>
    </row>
    <row r="25" spans="1:9" x14ac:dyDescent="0.15">
      <c r="A25" s="7"/>
      <c r="D25" s="9"/>
      <c r="E25" s="118"/>
      <c r="F25" s="59"/>
    </row>
    <row r="26" spans="1:9" x14ac:dyDescent="0.15">
      <c r="A26" s="7"/>
      <c r="B26" s="2" t="s">
        <v>27</v>
      </c>
      <c r="C26" s="8" t="s">
        <v>20</v>
      </c>
      <c r="D26" s="8"/>
      <c r="E26" s="118"/>
      <c r="F26" s="59"/>
    </row>
    <row r="27" spans="1:9" x14ac:dyDescent="0.15">
      <c r="A27" s="7"/>
      <c r="B27" s="64" t="s">
        <v>25</v>
      </c>
      <c r="C27" s="65"/>
      <c r="D27" s="65"/>
      <c r="E27" s="66" t="s">
        <v>26</v>
      </c>
    </row>
    <row r="28" spans="1:9" x14ac:dyDescent="0.15">
      <c r="A28" s="7"/>
      <c r="B28" s="105" t="s">
        <v>148</v>
      </c>
      <c r="C28" s="8"/>
      <c r="D28" s="68"/>
      <c r="E28" s="118"/>
    </row>
    <row r="29" spans="1:9" x14ac:dyDescent="0.15">
      <c r="A29" s="7"/>
      <c r="B29" s="105" t="s">
        <v>149</v>
      </c>
      <c r="C29" s="8"/>
      <c r="D29" s="59"/>
      <c r="E29" s="118">
        <f>E24</f>
        <v>14500000</v>
      </c>
    </row>
    <row r="30" spans="1:9" x14ac:dyDescent="0.15">
      <c r="A30" s="7"/>
      <c r="B30" s="5"/>
      <c r="C30" s="8"/>
      <c r="D30" s="59"/>
      <c r="E30" s="118"/>
    </row>
    <row r="31" spans="1:9" x14ac:dyDescent="0.15">
      <c r="A31" s="7"/>
      <c r="B31" s="168" t="s">
        <v>26</v>
      </c>
      <c r="C31" s="169"/>
      <c r="D31" s="170"/>
      <c r="E31" s="135">
        <f>E28+E29</f>
        <v>14500000</v>
      </c>
    </row>
    <row r="32" spans="1:9" x14ac:dyDescent="0.15">
      <c r="A32" s="7"/>
      <c r="B32" s="7"/>
      <c r="C32" s="7"/>
      <c r="D32" s="7"/>
      <c r="E32" s="130"/>
    </row>
    <row r="33" spans="1:7" x14ac:dyDescent="0.15">
      <c r="A33" s="7"/>
      <c r="B33" s="136" t="s">
        <v>170</v>
      </c>
      <c r="C33" s="7"/>
      <c r="D33" s="7"/>
      <c r="E33" s="130"/>
    </row>
    <row r="34" spans="1:7" x14ac:dyDescent="0.15">
      <c r="A34" s="7"/>
      <c r="B34" s="64" t="s">
        <v>25</v>
      </c>
      <c r="C34" s="65"/>
      <c r="D34" s="65"/>
      <c r="E34" s="66" t="s">
        <v>26</v>
      </c>
    </row>
    <row r="35" spans="1:7" x14ac:dyDescent="0.15">
      <c r="A35" s="7"/>
      <c r="B35" s="5"/>
      <c r="C35" s="8"/>
      <c r="D35" s="59"/>
      <c r="E35" s="50"/>
    </row>
    <row r="36" spans="1:7" x14ac:dyDescent="0.15">
      <c r="A36" s="7"/>
      <c r="B36" s="5"/>
      <c r="D36" s="59"/>
      <c r="E36" s="118"/>
    </row>
    <row r="37" spans="1:7" x14ac:dyDescent="0.15">
      <c r="A37" s="7"/>
      <c r="B37" s="5"/>
      <c r="D37" s="59"/>
      <c r="E37" s="118"/>
    </row>
    <row r="38" spans="1:7" x14ac:dyDescent="0.15">
      <c r="A38" s="7"/>
      <c r="B38" s="105"/>
      <c r="E38" s="118"/>
    </row>
    <row r="39" spans="1:7" x14ac:dyDescent="0.15">
      <c r="A39" s="7"/>
      <c r="B39" s="5"/>
      <c r="E39" s="118"/>
    </row>
    <row r="40" spans="1:7" x14ac:dyDescent="0.15">
      <c r="A40" s="7"/>
      <c r="B40" s="168" t="s">
        <v>26</v>
      </c>
      <c r="C40" s="169"/>
      <c r="D40" s="170"/>
      <c r="E40" s="135">
        <f>SUM(E35:E39)</f>
        <v>0</v>
      </c>
    </row>
    <row r="41" spans="1:7" x14ac:dyDescent="0.15">
      <c r="A41" s="7"/>
      <c r="D41" s="9"/>
      <c r="E41" s="130"/>
    </row>
    <row r="42" spans="1:7" x14ac:dyDescent="0.15">
      <c r="A42" s="7"/>
      <c r="D42" s="9"/>
      <c r="E42" s="130"/>
    </row>
    <row r="43" spans="1:7" x14ac:dyDescent="0.15">
      <c r="A43" s="7"/>
      <c r="D43" s="9"/>
      <c r="E43" s="130"/>
    </row>
    <row r="44" spans="1:7" x14ac:dyDescent="0.15">
      <c r="A44" s="7">
        <v>6</v>
      </c>
      <c r="B44" s="1" t="s">
        <v>28</v>
      </c>
      <c r="C44" s="8" t="s">
        <v>20</v>
      </c>
      <c r="D44" s="8"/>
      <c r="E44" s="130">
        <f>(profit!B49/profit!B10)*100</f>
        <v>37.255555555555553</v>
      </c>
      <c r="F44" s="17"/>
      <c r="G44" s="74"/>
    </row>
    <row r="45" spans="1:7" x14ac:dyDescent="0.15">
      <c r="A45" s="7">
        <v>7</v>
      </c>
      <c r="B45" s="1" t="s">
        <v>30</v>
      </c>
      <c r="C45" s="8" t="s">
        <v>20</v>
      </c>
      <c r="D45" s="8"/>
      <c r="E45" s="130">
        <f>E44</f>
        <v>37.255555555555553</v>
      </c>
    </row>
    <row r="46" spans="1:7" x14ac:dyDescent="0.15">
      <c r="A46" s="7">
        <v>8</v>
      </c>
      <c r="B46" s="1" t="s">
        <v>31</v>
      </c>
      <c r="C46" s="8" t="s">
        <v>20</v>
      </c>
      <c r="D46" s="8"/>
      <c r="E46" s="4">
        <v>225</v>
      </c>
      <c r="F46" s="1" t="s">
        <v>29</v>
      </c>
    </row>
    <row r="47" spans="1:7" x14ac:dyDescent="0.15">
      <c r="A47" s="7">
        <v>9</v>
      </c>
      <c r="B47" s="1" t="s">
        <v>32</v>
      </c>
      <c r="C47" s="8" t="s">
        <v>20</v>
      </c>
      <c r="D47" s="8"/>
      <c r="E47" s="34">
        <f>(profit!B57/'PROJECT AT GLANCE'!E24)*100</f>
        <v>12.419827586206896</v>
      </c>
      <c r="F47" s="1" t="s">
        <v>29</v>
      </c>
    </row>
    <row r="48" spans="1:7" x14ac:dyDescent="0.15">
      <c r="A48" s="7"/>
      <c r="C48" s="8"/>
      <c r="D48" s="8"/>
    </row>
  </sheetData>
  <mergeCells count="3">
    <mergeCell ref="B24:D24"/>
    <mergeCell ref="B31:D31"/>
    <mergeCell ref="B40:D40"/>
  </mergeCells>
  <printOptions horizontalCentered="1"/>
  <pageMargins left="0.42" right="0.26" top="1.26" bottom="0.59" header="0.19" footer="0.36"/>
  <pageSetup orientation="portrait" verticalDpi="144" r:id="rId1"/>
  <headerFooter alignWithMargins="0">
    <oddFooter>&amp;CPage &amp;P of 11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39"/>
  <sheetViews>
    <sheetView tabSelected="1" workbookViewId="0">
      <selection activeCell="F20" sqref="F20"/>
    </sheetView>
  </sheetViews>
  <sheetFormatPr baseColWidth="10" defaultColWidth="9.1640625" defaultRowHeight="14" x14ac:dyDescent="0.15"/>
  <cols>
    <col min="1" max="1" width="40.1640625" style="1" customWidth="1"/>
    <col min="2" max="2" width="8.1640625" style="1" customWidth="1"/>
    <col min="3" max="3" width="22.1640625" style="1" customWidth="1"/>
    <col min="4" max="4" width="11" style="1" customWidth="1"/>
    <col min="5" max="8" width="10" style="1" customWidth="1"/>
    <col min="9" max="9" width="12.5" style="1" customWidth="1"/>
    <col min="10" max="16384" width="9.1640625" style="1"/>
  </cols>
  <sheetData>
    <row r="1" spans="1:9" x14ac:dyDescent="0.15">
      <c r="A1" s="171" t="str">
        <f>'PROJECT AT GLANCE'!D4</f>
        <v>TRESBIZZ</v>
      </c>
      <c r="B1" s="171"/>
      <c r="C1" s="171"/>
      <c r="D1" s="171"/>
      <c r="E1" s="171"/>
    </row>
    <row r="2" spans="1:9" x14ac:dyDescent="0.15">
      <c r="A2" s="172"/>
      <c r="B2" s="172"/>
      <c r="C2" s="172"/>
      <c r="D2" s="172"/>
      <c r="E2" s="172"/>
    </row>
    <row r="3" spans="1:9" x14ac:dyDescent="0.15">
      <c r="A3" s="17"/>
      <c r="B3" s="17"/>
      <c r="C3" s="17"/>
      <c r="D3" s="17"/>
      <c r="E3" s="17"/>
    </row>
    <row r="4" spans="1:9" x14ac:dyDescent="0.15">
      <c r="A4" s="171"/>
      <c r="B4" s="171"/>
      <c r="C4" s="171"/>
      <c r="D4" s="171"/>
      <c r="E4" s="171"/>
    </row>
    <row r="7" spans="1:9" x14ac:dyDescent="0.15">
      <c r="A7" s="2" t="s">
        <v>34</v>
      </c>
      <c r="B7" s="2"/>
      <c r="E7" s="33"/>
    </row>
    <row r="8" spans="1:9" x14ac:dyDescent="0.15">
      <c r="A8" s="2"/>
      <c r="B8" s="2"/>
      <c r="E8" s="33"/>
    </row>
    <row r="9" spans="1:9" x14ac:dyDescent="0.15">
      <c r="A9" s="2" t="s">
        <v>35</v>
      </c>
      <c r="E9" s="33"/>
    </row>
    <row r="10" spans="1:9" x14ac:dyDescent="0.15">
      <c r="A10" s="2"/>
      <c r="E10" s="33"/>
    </row>
    <row r="11" spans="1:9" x14ac:dyDescent="0.15">
      <c r="A11" s="1" t="s">
        <v>36</v>
      </c>
      <c r="C11" s="62">
        <f>C22</f>
        <v>14500000</v>
      </c>
      <c r="D11" s="63"/>
    </row>
    <row r="12" spans="1:9" x14ac:dyDescent="0.15">
      <c r="D12" s="62"/>
      <c r="E12" s="63"/>
    </row>
    <row r="13" spans="1:9" x14ac:dyDescent="0.15">
      <c r="A13" s="1" t="s">
        <v>37</v>
      </c>
      <c r="E13" s="33"/>
    </row>
    <row r="14" spans="1:9" x14ac:dyDescent="0.15">
      <c r="E14" s="2"/>
    </row>
    <row r="15" spans="1:9" x14ac:dyDescent="0.15">
      <c r="A15" s="2" t="s">
        <v>24</v>
      </c>
      <c r="B15" s="8" t="s">
        <v>20</v>
      </c>
      <c r="C15" s="4" t="s">
        <v>168</v>
      </c>
      <c r="E15" s="4"/>
      <c r="F15" s="163"/>
      <c r="G15" s="163"/>
      <c r="H15" s="8"/>
      <c r="I15" s="8"/>
    </row>
    <row r="16" spans="1:9" x14ac:dyDescent="0.15">
      <c r="A16" s="64" t="s">
        <v>25</v>
      </c>
      <c r="B16" s="65"/>
      <c r="C16" s="66" t="s">
        <v>26</v>
      </c>
      <c r="E16" s="8"/>
      <c r="F16" s="7"/>
      <c r="G16" s="7"/>
      <c r="H16" s="7"/>
      <c r="I16" s="7"/>
    </row>
    <row r="17" spans="1:10" x14ac:dyDescent="0.15">
      <c r="A17" s="5" t="str">
        <f>'PROJECT AT GLANCE'!B19</f>
        <v>Initial Cost inccured</v>
      </c>
      <c r="B17" s="8"/>
      <c r="C17" s="50">
        <f>'PROJECT AT GLANCE'!E19</f>
        <v>3400000</v>
      </c>
      <c r="D17" s="1" t="s">
        <v>197</v>
      </c>
      <c r="E17" s="59"/>
      <c r="F17" s="59"/>
      <c r="G17" s="59"/>
      <c r="H17" s="59"/>
      <c r="I17" s="7"/>
    </row>
    <row r="18" spans="1:10" x14ac:dyDescent="0.15">
      <c r="A18" s="5" t="str">
        <f>'PROJECT AT GLANCE'!B20</f>
        <v xml:space="preserve">Software Developmnet </v>
      </c>
      <c r="B18" s="8"/>
      <c r="C18" s="50">
        <f>'PROJECT AT GLANCE'!E20</f>
        <v>5000000</v>
      </c>
      <c r="E18" s="59"/>
      <c r="F18" s="59"/>
      <c r="G18" s="59"/>
      <c r="H18" s="59"/>
      <c r="I18" s="7"/>
    </row>
    <row r="19" spans="1:10" x14ac:dyDescent="0.15">
      <c r="A19" s="5" t="str">
        <f>'PROJECT AT GLANCE'!B21</f>
        <v>Research &amp; development</v>
      </c>
      <c r="C19" s="50">
        <f>'PROJECT AT GLANCE'!E21</f>
        <v>5000000</v>
      </c>
      <c r="D19" s="1" t="s">
        <v>202</v>
      </c>
      <c r="E19" s="59"/>
      <c r="F19" s="59"/>
      <c r="G19" s="15"/>
      <c r="H19" s="15"/>
      <c r="I19" s="59"/>
    </row>
    <row r="20" spans="1:10" x14ac:dyDescent="0.15">
      <c r="A20" s="5" t="str">
        <f>'PROJECT AT GLANCE'!B22</f>
        <v>Set up Cost</v>
      </c>
      <c r="B20" s="8"/>
      <c r="C20" s="50">
        <f>'PROJECT AT GLANCE'!E22</f>
        <v>500000</v>
      </c>
      <c r="D20" s="1" t="s">
        <v>198</v>
      </c>
      <c r="E20" s="59"/>
      <c r="F20" s="59"/>
      <c r="G20" s="59"/>
      <c r="H20" s="15"/>
      <c r="I20" s="59"/>
    </row>
    <row r="21" spans="1:10" x14ac:dyDescent="0.15">
      <c r="A21" s="105" t="str">
        <f>'PROJECT AT GLANCE'!B23</f>
        <v>Brand Registration</v>
      </c>
      <c r="B21" s="8"/>
      <c r="C21" s="50">
        <f>'PROJECT AT GLANCE'!E23</f>
        <v>600000</v>
      </c>
      <c r="D21" s="1" t="s">
        <v>199</v>
      </c>
      <c r="E21" s="59"/>
      <c r="F21" s="59"/>
      <c r="G21" s="59"/>
      <c r="H21" s="15"/>
      <c r="I21" s="59"/>
    </row>
    <row r="22" spans="1:10" x14ac:dyDescent="0.15">
      <c r="A22" s="12" t="s">
        <v>26</v>
      </c>
      <c r="B22" s="67"/>
      <c r="C22" s="158">
        <f>SUM(C17:C21)</f>
        <v>14500000</v>
      </c>
      <c r="E22" s="59"/>
      <c r="F22" s="59"/>
      <c r="G22" s="59"/>
      <c r="H22" s="15"/>
      <c r="I22" s="59"/>
    </row>
    <row r="23" spans="1:10" x14ac:dyDescent="0.15">
      <c r="E23" s="59"/>
      <c r="F23" s="59"/>
      <c r="G23" s="15"/>
      <c r="H23" s="15"/>
      <c r="I23" s="59"/>
    </row>
    <row r="24" spans="1:10" x14ac:dyDescent="0.15">
      <c r="A24" s="2" t="s">
        <v>27</v>
      </c>
      <c r="B24" s="8" t="s">
        <v>20</v>
      </c>
      <c r="E24" s="8"/>
      <c r="F24" s="59"/>
      <c r="G24" s="59"/>
      <c r="H24" s="59"/>
      <c r="I24" s="59"/>
    </row>
    <row r="25" spans="1:10" x14ac:dyDescent="0.15">
      <c r="A25" s="64" t="s">
        <v>25</v>
      </c>
      <c r="B25" s="65"/>
      <c r="C25" s="66" t="s">
        <v>26</v>
      </c>
      <c r="E25" s="68"/>
      <c r="F25" s="59"/>
      <c r="G25" s="59"/>
      <c r="H25" s="59"/>
      <c r="I25" s="59"/>
    </row>
    <row r="26" spans="1:10" x14ac:dyDescent="0.15">
      <c r="A26" s="5" t="str">
        <f>'PROJECT AT GLANCE'!B28</f>
        <v>Equity Shareholding:-</v>
      </c>
      <c r="B26" s="8"/>
      <c r="C26" s="69">
        <v>3400000</v>
      </c>
      <c r="E26" s="68"/>
      <c r="F26" s="59"/>
      <c r="G26" s="59"/>
      <c r="H26" s="59"/>
      <c r="I26" s="59"/>
    </row>
    <row r="27" spans="1:10" x14ac:dyDescent="0.15">
      <c r="A27" s="5" t="str">
        <f>'PROJECT AT GLANCE'!B29</f>
        <v>Strategic Investment</v>
      </c>
      <c r="B27" s="8"/>
      <c r="C27" s="69">
        <v>11100000</v>
      </c>
      <c r="D27" s="160" t="s">
        <v>201</v>
      </c>
      <c r="E27" s="68"/>
      <c r="F27" s="8"/>
      <c r="G27" s="70"/>
    </row>
    <row r="28" spans="1:10" x14ac:dyDescent="0.15">
      <c r="A28" s="12" t="s">
        <v>26</v>
      </c>
      <c r="B28" s="67"/>
      <c r="C28" s="71">
        <f>C22</f>
        <v>14500000</v>
      </c>
      <c r="E28" s="68"/>
      <c r="F28" s="7"/>
      <c r="G28" s="7"/>
      <c r="H28" s="7"/>
      <c r="I28" s="7"/>
    </row>
    <row r="30" spans="1:10" x14ac:dyDescent="0.15">
      <c r="B30" s="8"/>
      <c r="C30" s="8"/>
      <c r="D30" s="8"/>
      <c r="E30" s="9"/>
      <c r="F30" s="9"/>
      <c r="G30" s="47"/>
      <c r="J30" s="74"/>
    </row>
    <row r="31" spans="1:10" x14ac:dyDescent="0.15">
      <c r="B31" s="8"/>
      <c r="D31" s="8"/>
      <c r="E31" s="47"/>
      <c r="F31" s="47"/>
      <c r="G31" s="47"/>
    </row>
    <row r="32" spans="1:10" x14ac:dyDescent="0.15">
      <c r="B32" s="8"/>
      <c r="C32" s="8"/>
      <c r="D32" s="8"/>
      <c r="E32" s="36"/>
      <c r="F32" s="36"/>
      <c r="G32" s="36"/>
    </row>
    <row r="33" spans="2:7" x14ac:dyDescent="0.15">
      <c r="B33" s="8"/>
      <c r="C33" s="8"/>
      <c r="D33" s="8"/>
      <c r="E33" s="36"/>
      <c r="F33" s="36"/>
      <c r="G33" s="36"/>
    </row>
    <row r="34" spans="2:7" x14ac:dyDescent="0.15">
      <c r="B34" s="8"/>
      <c r="C34" s="8"/>
      <c r="D34" s="8"/>
      <c r="E34" s="72"/>
      <c r="F34" s="72"/>
      <c r="G34" s="72"/>
    </row>
    <row r="35" spans="2:7" x14ac:dyDescent="0.15">
      <c r="B35" s="8"/>
      <c r="C35" s="8"/>
      <c r="D35" s="8"/>
      <c r="E35" s="73"/>
      <c r="F35" s="73"/>
    </row>
    <row r="36" spans="2:7" x14ac:dyDescent="0.15">
      <c r="B36" s="8"/>
      <c r="C36" s="8"/>
      <c r="D36" s="8"/>
      <c r="E36" s="8"/>
      <c r="F36" s="8"/>
      <c r="G36" s="8"/>
    </row>
    <row r="37" spans="2:7" x14ac:dyDescent="0.15">
      <c r="B37" s="8"/>
      <c r="C37" s="8"/>
      <c r="D37" s="8"/>
      <c r="E37" s="8"/>
      <c r="F37" s="8"/>
      <c r="G37" s="8"/>
    </row>
    <row r="38" spans="2:7" x14ac:dyDescent="0.15">
      <c r="B38" s="8"/>
      <c r="C38" s="8"/>
      <c r="D38" s="8"/>
      <c r="E38" s="8"/>
      <c r="F38" s="8"/>
      <c r="G38" s="8"/>
    </row>
    <row r="39" spans="2:7" x14ac:dyDescent="0.15">
      <c r="B39" s="8"/>
      <c r="C39" s="8"/>
      <c r="D39" s="8"/>
      <c r="E39" s="8"/>
      <c r="F39" s="8"/>
      <c r="G39" s="8"/>
    </row>
  </sheetData>
  <mergeCells count="4">
    <mergeCell ref="A1:E1"/>
    <mergeCell ref="A2:E2"/>
    <mergeCell ref="A4:E4"/>
    <mergeCell ref="F15:G15"/>
  </mergeCells>
  <printOptions horizontalCentered="1" verticalCentered="1"/>
  <pageMargins left="0.97" right="1.64" top="0.38" bottom="4.67" header="0.28999999999999998" footer="0.5"/>
  <pageSetup orientation="portrait" verticalDpi="144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Y65"/>
  <sheetViews>
    <sheetView workbookViewId="0">
      <selection activeCell="S50" sqref="S50"/>
    </sheetView>
  </sheetViews>
  <sheetFormatPr baseColWidth="10" defaultColWidth="9.1640625" defaultRowHeight="14" x14ac:dyDescent="0.15"/>
  <cols>
    <col min="1" max="1" width="51.83203125" style="1" customWidth="1"/>
    <col min="2" max="2" width="15.1640625" style="1" bestFit="1" customWidth="1"/>
    <col min="3" max="3" width="16.6640625" style="1" bestFit="1" customWidth="1"/>
    <col min="4" max="4" width="16.83203125" style="1" customWidth="1"/>
    <col min="5" max="5" width="18.83203125" style="1" bestFit="1" customWidth="1"/>
    <col min="6" max="6" width="17.6640625" style="1" customWidth="1"/>
    <col min="7" max="7" width="20.33203125" style="1" customWidth="1"/>
    <col min="8" max="8" width="9.1640625" style="1" bestFit="1" customWidth="1"/>
    <col min="9" max="9" width="10.5" style="1"/>
    <col min="10" max="17" width="9.1640625" style="1"/>
    <col min="18" max="18" width="9.1640625" style="1" customWidth="1"/>
    <col min="19" max="24" width="9.1640625" style="1"/>
    <col min="25" max="25" width="15.1640625" style="1" customWidth="1"/>
    <col min="26" max="16384" width="9.1640625" style="1"/>
  </cols>
  <sheetData>
    <row r="1" spans="1:25" x14ac:dyDescent="0.15">
      <c r="A1" s="56" t="str">
        <f>'Fund flow'!A1</f>
        <v>TRESBIZZ</v>
      </c>
      <c r="W1" s="1" t="s">
        <v>108</v>
      </c>
      <c r="Y1" s="155" t="s">
        <v>188</v>
      </c>
    </row>
    <row r="2" spans="1:25" x14ac:dyDescent="0.15">
      <c r="A2" s="2" t="s">
        <v>38</v>
      </c>
      <c r="B2" s="2"/>
      <c r="W2" s="1" t="s">
        <v>106</v>
      </c>
      <c r="Y2" s="61">
        <v>0.25</v>
      </c>
    </row>
    <row r="3" spans="1:25" x14ac:dyDescent="0.15">
      <c r="A3" s="2" t="s">
        <v>10</v>
      </c>
      <c r="B3" s="2"/>
      <c r="F3" s="4" t="s">
        <v>129</v>
      </c>
      <c r="W3" s="1" t="s">
        <v>107</v>
      </c>
      <c r="Y3" s="61">
        <v>0.35</v>
      </c>
    </row>
    <row r="4" spans="1:25" x14ac:dyDescent="0.15">
      <c r="A4" s="174" t="s">
        <v>39</v>
      </c>
      <c r="B4" s="173" t="s">
        <v>40</v>
      </c>
      <c r="C4" s="173"/>
      <c r="D4" s="173"/>
      <c r="E4" s="173"/>
      <c r="F4" s="173"/>
    </row>
    <row r="5" spans="1:25" x14ac:dyDescent="0.15">
      <c r="A5" s="165"/>
      <c r="B5" s="57">
        <v>1</v>
      </c>
      <c r="C5" s="16">
        <v>2</v>
      </c>
      <c r="D5" s="16">
        <v>3</v>
      </c>
      <c r="E5" s="16">
        <v>4</v>
      </c>
      <c r="F5" s="16">
        <v>5</v>
      </c>
      <c r="U5" s="1" t="s">
        <v>98</v>
      </c>
      <c r="W5" s="1" t="s">
        <v>112</v>
      </c>
    </row>
    <row r="6" spans="1:25" x14ac:dyDescent="0.15">
      <c r="A6" s="94" t="s">
        <v>126</v>
      </c>
      <c r="B6" s="5"/>
      <c r="C6" s="50"/>
      <c r="D6" s="59"/>
      <c r="E6" s="50"/>
      <c r="F6" s="51"/>
      <c r="Q6" s="1" t="s">
        <v>96</v>
      </c>
      <c r="S6" s="1" t="s">
        <v>97</v>
      </c>
      <c r="U6" s="1">
        <v>350</v>
      </c>
      <c r="V6" s="1">
        <v>250</v>
      </c>
      <c r="W6" s="1">
        <v>120</v>
      </c>
      <c r="X6" s="1">
        <f>W6+V6+U6</f>
        <v>720</v>
      </c>
      <c r="Y6" s="1">
        <f>X6/3</f>
        <v>240</v>
      </c>
    </row>
    <row r="7" spans="1:25" x14ac:dyDescent="0.15">
      <c r="A7" s="105"/>
      <c r="B7" s="141"/>
      <c r="C7" s="141"/>
      <c r="D7" s="141"/>
      <c r="E7" s="141"/>
      <c r="F7" s="144"/>
    </row>
    <row r="8" spans="1:25" ht="18" x14ac:dyDescent="0.2">
      <c r="A8" s="98" t="s">
        <v>184</v>
      </c>
      <c r="B8" s="141">
        <v>3750000</v>
      </c>
      <c r="C8" s="141">
        <v>18000000</v>
      </c>
      <c r="D8" s="141">
        <v>65000000</v>
      </c>
      <c r="E8" s="141">
        <v>250000000</v>
      </c>
      <c r="F8" s="144">
        <v>600000000</v>
      </c>
      <c r="G8" s="156" t="s">
        <v>192</v>
      </c>
    </row>
    <row r="9" spans="1:25" x14ac:dyDescent="0.15">
      <c r="A9" s="154" t="s">
        <v>187</v>
      </c>
      <c r="B9" s="141">
        <v>750000</v>
      </c>
      <c r="C9" s="141">
        <v>10000000</v>
      </c>
      <c r="D9" s="141">
        <v>25000000</v>
      </c>
      <c r="E9" s="141">
        <v>75000000</v>
      </c>
      <c r="F9" s="144">
        <v>200000000</v>
      </c>
    </row>
    <row r="10" spans="1:25" x14ac:dyDescent="0.15">
      <c r="A10" s="140" t="s">
        <v>183</v>
      </c>
      <c r="B10" s="142">
        <v>4500000</v>
      </c>
      <c r="C10" s="159">
        <f>SUM(C8:C9)</f>
        <v>28000000</v>
      </c>
      <c r="D10" s="159">
        <f>SUM(D8:D9)</f>
        <v>90000000</v>
      </c>
      <c r="E10" s="142">
        <f>SUM(E8:E9)</f>
        <v>325000000</v>
      </c>
      <c r="F10" s="145">
        <f>SUM(F8:F9)</f>
        <v>800000000</v>
      </c>
      <c r="G10" s="59"/>
      <c r="M10" s="89"/>
      <c r="U10" s="1" t="s">
        <v>104</v>
      </c>
      <c r="V10" s="1" t="s">
        <v>103</v>
      </c>
      <c r="W10" s="1" t="s">
        <v>102</v>
      </c>
    </row>
    <row r="11" spans="1:25" x14ac:dyDescent="0.15">
      <c r="A11" s="60"/>
      <c r="B11" s="6"/>
      <c r="C11" s="6"/>
      <c r="D11" s="6"/>
      <c r="E11" s="6"/>
      <c r="F11" s="50"/>
      <c r="G11" s="59"/>
      <c r="S11" s="1" t="s">
        <v>105</v>
      </c>
      <c r="U11" s="61">
        <v>0.15</v>
      </c>
      <c r="V11" s="61">
        <v>0.6</v>
      </c>
      <c r="W11" s="61">
        <v>0.25</v>
      </c>
    </row>
    <row r="12" spans="1:25" x14ac:dyDescent="0.15">
      <c r="A12" s="93" t="s">
        <v>125</v>
      </c>
      <c r="B12" s="91"/>
      <c r="C12" s="91"/>
      <c r="D12" s="91"/>
      <c r="E12" s="91"/>
      <c r="F12" s="91"/>
      <c r="G12" s="59"/>
    </row>
    <row r="13" spans="1:25" x14ac:dyDescent="0.15">
      <c r="A13" s="93"/>
      <c r="B13" s="91"/>
      <c r="C13" s="91"/>
      <c r="D13" s="91"/>
      <c r="E13" s="91"/>
      <c r="F13" s="91"/>
      <c r="G13" s="59"/>
    </row>
    <row r="14" spans="1:25" x14ac:dyDescent="0.15">
      <c r="A14" s="96" t="s">
        <v>132</v>
      </c>
      <c r="F14" s="91"/>
      <c r="G14" s="59"/>
    </row>
    <row r="15" spans="1:25" ht="15" x14ac:dyDescent="0.15">
      <c r="A15" s="92" t="s">
        <v>122</v>
      </c>
      <c r="B15" s="91">
        <v>750000</v>
      </c>
      <c r="C15" s="91">
        <v>1750000</v>
      </c>
      <c r="D15" s="91">
        <f t="shared" ref="D15:F16" si="0">C15*1.25</f>
        <v>2187500</v>
      </c>
      <c r="E15" s="91">
        <f t="shared" si="0"/>
        <v>2734375</v>
      </c>
      <c r="F15" s="91">
        <f t="shared" si="0"/>
        <v>3417968.75</v>
      </c>
      <c r="G15" s="59"/>
    </row>
    <row r="16" spans="1:25" ht="15" x14ac:dyDescent="0.15">
      <c r="A16" s="92" t="s">
        <v>123</v>
      </c>
      <c r="B16" s="101">
        <v>200000</v>
      </c>
      <c r="C16" s="91">
        <f>B16*1.5</f>
        <v>300000</v>
      </c>
      <c r="D16" s="91">
        <f t="shared" si="0"/>
        <v>375000</v>
      </c>
      <c r="E16" s="91">
        <f t="shared" si="0"/>
        <v>468750</v>
      </c>
      <c r="F16" s="91">
        <f t="shared" si="0"/>
        <v>585937.5</v>
      </c>
      <c r="G16" s="59"/>
    </row>
    <row r="17" spans="1:25" ht="15" x14ac:dyDescent="0.15">
      <c r="A17" s="92" t="s">
        <v>128</v>
      </c>
      <c r="B17" s="101">
        <f>B16*0.6</f>
        <v>120000</v>
      </c>
      <c r="C17" s="101">
        <f t="shared" ref="C17:F17" si="1">C16*0.6</f>
        <v>180000</v>
      </c>
      <c r="D17" s="101">
        <f t="shared" si="1"/>
        <v>225000</v>
      </c>
      <c r="E17" s="101">
        <f t="shared" si="1"/>
        <v>281250</v>
      </c>
      <c r="F17" s="101">
        <f t="shared" si="1"/>
        <v>351562.5</v>
      </c>
      <c r="G17" s="59"/>
    </row>
    <row r="18" spans="1:25" x14ac:dyDescent="0.15">
      <c r="B18" s="91"/>
      <c r="C18" s="91"/>
      <c r="D18" s="91"/>
      <c r="E18" s="91"/>
      <c r="F18" s="91"/>
      <c r="G18" s="59"/>
    </row>
    <row r="19" spans="1:25" x14ac:dyDescent="0.15">
      <c r="A19" s="102" t="s">
        <v>130</v>
      </c>
      <c r="B19" s="91">
        <v>750000</v>
      </c>
      <c r="C19" s="91">
        <f>B19*1.5</f>
        <v>1125000</v>
      </c>
      <c r="D19" s="91">
        <f>C19*1.25</f>
        <v>1406250</v>
      </c>
      <c r="E19" s="91">
        <f>D19*1.25</f>
        <v>1757812.5</v>
      </c>
      <c r="F19" s="91">
        <f>E19*1.25</f>
        <v>2197265.625</v>
      </c>
      <c r="G19" s="59"/>
    </row>
    <row r="20" spans="1:25" x14ac:dyDescent="0.15">
      <c r="A20" s="92"/>
      <c r="B20" s="91"/>
      <c r="C20" s="91"/>
      <c r="D20" s="91"/>
      <c r="E20" s="91"/>
      <c r="F20" s="91"/>
      <c r="G20" s="59"/>
    </row>
    <row r="21" spans="1:25" ht="15" x14ac:dyDescent="0.15">
      <c r="A21" s="103" t="s">
        <v>131</v>
      </c>
      <c r="B21" s="91">
        <v>75000</v>
      </c>
      <c r="C21" s="91">
        <f t="shared" ref="C21" si="2">B21*1.5</f>
        <v>112500</v>
      </c>
      <c r="D21" s="91">
        <f t="shared" ref="D21:D44" si="3">C21*1.25</f>
        <v>140625</v>
      </c>
      <c r="E21" s="91">
        <f t="shared" ref="E21:F44" si="4">D21*1.25</f>
        <v>175781.25</v>
      </c>
      <c r="F21" s="91">
        <f t="shared" ref="F21" si="5">E21*1.25</f>
        <v>219726.5625</v>
      </c>
      <c r="G21" s="59"/>
    </row>
    <row r="22" spans="1:25" x14ac:dyDescent="0.15">
      <c r="A22" s="93"/>
      <c r="B22" s="91"/>
      <c r="C22" s="91"/>
      <c r="D22" s="91"/>
      <c r="E22" s="91"/>
      <c r="F22" s="91"/>
      <c r="G22" s="59"/>
    </row>
    <row r="23" spans="1:25" ht="15" x14ac:dyDescent="0.15">
      <c r="A23" s="95" t="s">
        <v>121</v>
      </c>
      <c r="B23" s="91"/>
      <c r="C23" s="91"/>
      <c r="D23" s="91"/>
      <c r="E23" s="91"/>
      <c r="F23" s="91"/>
      <c r="G23" s="61"/>
      <c r="Q23" s="1" t="e">
        <f>(#REF!-#REF!)/#REF!</f>
        <v>#REF!</v>
      </c>
      <c r="R23" s="1" t="e">
        <f>(#REF!-#REF!)/#REF!</f>
        <v>#REF!</v>
      </c>
      <c r="S23" s="1" t="s">
        <v>109</v>
      </c>
      <c r="U23" s="1">
        <v>1</v>
      </c>
      <c r="V23" s="1">
        <v>2</v>
      </c>
      <c r="W23" s="1">
        <v>3</v>
      </c>
      <c r="X23" s="1">
        <v>4</v>
      </c>
      <c r="Y23" s="1">
        <v>5</v>
      </c>
    </row>
    <row r="24" spans="1:25" ht="15" x14ac:dyDescent="0.15">
      <c r="A24" s="92" t="s">
        <v>122</v>
      </c>
      <c r="B24" s="91">
        <v>100000</v>
      </c>
      <c r="C24" s="91">
        <f>B24*1.5</f>
        <v>150000</v>
      </c>
      <c r="D24" s="91">
        <f t="shared" si="3"/>
        <v>187500</v>
      </c>
      <c r="E24" s="91">
        <f t="shared" si="4"/>
        <v>234375</v>
      </c>
      <c r="F24" s="91">
        <f>E24*1.25</f>
        <v>292968.75</v>
      </c>
      <c r="G24" s="61"/>
    </row>
    <row r="25" spans="1:25" ht="15" x14ac:dyDescent="0.15">
      <c r="A25" s="92" t="s">
        <v>123</v>
      </c>
      <c r="B25" s="101">
        <v>100000</v>
      </c>
      <c r="C25" s="91">
        <f t="shared" ref="C25:C44" si="6">B25*1.5</f>
        <v>150000</v>
      </c>
      <c r="D25" s="91">
        <f t="shared" si="3"/>
        <v>187500</v>
      </c>
      <c r="E25" s="91">
        <f t="shared" si="4"/>
        <v>234375</v>
      </c>
      <c r="F25" s="91">
        <f t="shared" si="4"/>
        <v>292968.75</v>
      </c>
      <c r="G25" s="61"/>
    </row>
    <row r="26" spans="1:25" ht="15" x14ac:dyDescent="0.15">
      <c r="A26" s="92" t="s">
        <v>128</v>
      </c>
      <c r="B26" s="91">
        <v>50000</v>
      </c>
      <c r="C26" s="91">
        <f>B26*1.5</f>
        <v>75000</v>
      </c>
      <c r="D26" s="91">
        <f t="shared" si="3"/>
        <v>93750</v>
      </c>
      <c r="E26" s="91">
        <f t="shared" si="4"/>
        <v>117187.5</v>
      </c>
      <c r="F26" s="91">
        <f t="shared" si="4"/>
        <v>146484.375</v>
      </c>
      <c r="G26" s="61"/>
    </row>
    <row r="27" spans="1:25" x14ac:dyDescent="0.15">
      <c r="A27" s="96" t="s">
        <v>124</v>
      </c>
      <c r="B27" s="91"/>
      <c r="C27" s="91"/>
      <c r="D27" s="91"/>
      <c r="E27" s="91"/>
      <c r="F27" s="91"/>
      <c r="S27" s="1" t="s">
        <v>110</v>
      </c>
      <c r="U27" s="1">
        <f>55*0.5%</f>
        <v>0.27500000000000002</v>
      </c>
      <c r="V27" s="1">
        <f>55*0.1</f>
        <v>5.5</v>
      </c>
      <c r="W27" s="1">
        <f>55*0.25</f>
        <v>13.75</v>
      </c>
      <c r="X27" s="1">
        <f>55*0.285</f>
        <v>15.674999999999999</v>
      </c>
      <c r="Y27" s="1">
        <f>55*0.35</f>
        <v>19.25</v>
      </c>
    </row>
    <row r="28" spans="1:25" ht="15" x14ac:dyDescent="0.15">
      <c r="A28" s="92" t="s">
        <v>122</v>
      </c>
      <c r="B28" s="91">
        <v>10000</v>
      </c>
      <c r="C28" s="91">
        <f t="shared" si="6"/>
        <v>15000</v>
      </c>
      <c r="D28" s="91">
        <f t="shared" si="3"/>
        <v>18750</v>
      </c>
      <c r="E28" s="91">
        <f t="shared" si="4"/>
        <v>23437.5</v>
      </c>
      <c r="F28" s="91">
        <f t="shared" ref="F28:F44" si="7">E28*1.25</f>
        <v>29296.875</v>
      </c>
    </row>
    <row r="29" spans="1:25" ht="15" x14ac:dyDescent="0.15">
      <c r="A29" s="92" t="s">
        <v>123</v>
      </c>
      <c r="B29" s="91">
        <v>10000</v>
      </c>
      <c r="C29" s="91">
        <f t="shared" si="6"/>
        <v>15000</v>
      </c>
      <c r="D29" s="91">
        <f t="shared" si="3"/>
        <v>18750</v>
      </c>
      <c r="E29" s="91">
        <f t="shared" si="4"/>
        <v>23437.5</v>
      </c>
      <c r="F29" s="91">
        <f t="shared" si="7"/>
        <v>29296.875</v>
      </c>
    </row>
    <row r="30" spans="1:25" ht="15" x14ac:dyDescent="0.15">
      <c r="A30" s="92" t="s">
        <v>128</v>
      </c>
      <c r="B30" s="91">
        <f>B29*0.6</f>
        <v>6000</v>
      </c>
      <c r="C30" s="91">
        <f t="shared" si="6"/>
        <v>9000</v>
      </c>
      <c r="D30" s="91">
        <f t="shared" si="3"/>
        <v>11250</v>
      </c>
      <c r="E30" s="91">
        <f t="shared" si="4"/>
        <v>14062.5</v>
      </c>
      <c r="F30" s="91">
        <f t="shared" si="7"/>
        <v>17578.125</v>
      </c>
    </row>
    <row r="31" spans="1:25" x14ac:dyDescent="0.15">
      <c r="A31" s="2" t="s">
        <v>200</v>
      </c>
      <c r="C31" s="91"/>
      <c r="D31" s="91"/>
      <c r="E31" s="91"/>
      <c r="F31" s="91"/>
      <c r="S31" s="1" t="s">
        <v>99</v>
      </c>
      <c r="U31" s="1">
        <f>U27*0.25</f>
        <v>6.8750000000000006E-2</v>
      </c>
      <c r="V31" s="1">
        <f>V27*0.25</f>
        <v>1.375</v>
      </c>
      <c r="W31" s="1">
        <f t="shared" ref="W31" si="8">W27*0.25</f>
        <v>3.4375</v>
      </c>
      <c r="X31" s="1">
        <f>X27*0.25</f>
        <v>3.9187499999999997</v>
      </c>
      <c r="Y31" s="1">
        <f>Y27*0.25</f>
        <v>4.8125</v>
      </c>
    </row>
    <row r="32" spans="1:25" ht="15" x14ac:dyDescent="0.15">
      <c r="A32" s="92" t="s">
        <v>122</v>
      </c>
      <c r="B32" s="91">
        <v>0</v>
      </c>
      <c r="C32" s="91">
        <f t="shared" si="6"/>
        <v>0</v>
      </c>
      <c r="D32" s="91">
        <f t="shared" si="3"/>
        <v>0</v>
      </c>
      <c r="E32" s="91">
        <f t="shared" si="4"/>
        <v>0</v>
      </c>
      <c r="F32" s="91">
        <f t="shared" si="7"/>
        <v>0</v>
      </c>
    </row>
    <row r="33" spans="1:25" ht="15" x14ac:dyDescent="0.15">
      <c r="A33" s="92" t="s">
        <v>123</v>
      </c>
      <c r="B33" s="91">
        <v>25000</v>
      </c>
      <c r="C33" s="91">
        <f t="shared" si="6"/>
        <v>37500</v>
      </c>
      <c r="D33" s="91">
        <f t="shared" si="3"/>
        <v>46875</v>
      </c>
      <c r="E33" s="91">
        <f t="shared" si="4"/>
        <v>58593.75</v>
      </c>
      <c r="F33" s="91">
        <f t="shared" si="7"/>
        <v>73242.1875</v>
      </c>
    </row>
    <row r="34" spans="1:25" ht="15" x14ac:dyDescent="0.15">
      <c r="A34" s="92" t="s">
        <v>128</v>
      </c>
      <c r="B34" s="91">
        <v>5000</v>
      </c>
      <c r="C34" s="91">
        <f t="shared" si="6"/>
        <v>7500</v>
      </c>
      <c r="D34" s="91">
        <f t="shared" si="3"/>
        <v>9375</v>
      </c>
      <c r="E34" s="91">
        <f t="shared" si="4"/>
        <v>11718.75</v>
      </c>
      <c r="F34" s="91">
        <f t="shared" si="7"/>
        <v>14648.4375</v>
      </c>
    </row>
    <row r="35" spans="1:25" ht="15" x14ac:dyDescent="0.15">
      <c r="A35" s="103" t="s">
        <v>133</v>
      </c>
      <c r="C35" s="91"/>
      <c r="D35" s="91"/>
      <c r="E35" s="91"/>
      <c r="F35" s="91"/>
    </row>
    <row r="36" spans="1:25" ht="15" x14ac:dyDescent="0.15">
      <c r="A36" s="92" t="s">
        <v>122</v>
      </c>
      <c r="B36" s="91">
        <v>10000</v>
      </c>
      <c r="C36" s="91">
        <f t="shared" si="6"/>
        <v>15000</v>
      </c>
      <c r="D36" s="91">
        <f t="shared" si="3"/>
        <v>18750</v>
      </c>
      <c r="E36" s="91">
        <f t="shared" si="4"/>
        <v>23437.5</v>
      </c>
      <c r="F36" s="91">
        <f t="shared" si="7"/>
        <v>29296.875</v>
      </c>
    </row>
    <row r="37" spans="1:25" ht="15" x14ac:dyDescent="0.15">
      <c r="A37" s="92" t="s">
        <v>123</v>
      </c>
      <c r="B37" s="91">
        <v>7500</v>
      </c>
      <c r="C37" s="91">
        <f t="shared" si="6"/>
        <v>11250</v>
      </c>
      <c r="D37" s="91">
        <f t="shared" si="3"/>
        <v>14062.5</v>
      </c>
      <c r="E37" s="91">
        <f t="shared" si="4"/>
        <v>17578.125</v>
      </c>
      <c r="F37" s="91">
        <f t="shared" si="7"/>
        <v>21972.65625</v>
      </c>
    </row>
    <row r="38" spans="1:25" ht="15" x14ac:dyDescent="0.15">
      <c r="A38" s="92" t="s">
        <v>128</v>
      </c>
      <c r="B38" s="91">
        <f>B37*0.6</f>
        <v>4500</v>
      </c>
      <c r="C38" s="91">
        <f t="shared" si="6"/>
        <v>6750</v>
      </c>
      <c r="D38" s="91">
        <f t="shared" si="3"/>
        <v>8437.5</v>
      </c>
      <c r="E38" s="91">
        <f t="shared" si="4"/>
        <v>10546.875</v>
      </c>
      <c r="F38" s="91">
        <f t="shared" si="7"/>
        <v>13183.59375</v>
      </c>
    </row>
    <row r="39" spans="1:25" ht="15" x14ac:dyDescent="0.15">
      <c r="A39" s="103" t="s">
        <v>134</v>
      </c>
      <c r="B39" s="91"/>
      <c r="C39" s="91"/>
      <c r="D39" s="91"/>
      <c r="E39" s="91"/>
      <c r="F39" s="91"/>
    </row>
    <row r="40" spans="1:25" ht="15" x14ac:dyDescent="0.15">
      <c r="A40" s="92" t="s">
        <v>122</v>
      </c>
      <c r="B40" s="91">
        <v>25000</v>
      </c>
      <c r="C40" s="91">
        <f t="shared" si="6"/>
        <v>37500</v>
      </c>
      <c r="D40" s="91">
        <f t="shared" si="3"/>
        <v>46875</v>
      </c>
      <c r="E40" s="91">
        <f t="shared" si="4"/>
        <v>58593.75</v>
      </c>
      <c r="F40" s="91">
        <f t="shared" si="7"/>
        <v>73242.1875</v>
      </c>
    </row>
    <row r="41" spans="1:25" ht="15" x14ac:dyDescent="0.15">
      <c r="A41" s="92" t="s">
        <v>123</v>
      </c>
      <c r="B41" s="91">
        <f>B40*0.8</f>
        <v>20000</v>
      </c>
      <c r="C41" s="91">
        <f t="shared" si="6"/>
        <v>30000</v>
      </c>
      <c r="D41" s="91">
        <f t="shared" si="3"/>
        <v>37500</v>
      </c>
      <c r="E41" s="91">
        <f t="shared" si="4"/>
        <v>46875</v>
      </c>
      <c r="F41" s="91">
        <f t="shared" si="7"/>
        <v>58593.75</v>
      </c>
    </row>
    <row r="42" spans="1:25" ht="15" x14ac:dyDescent="0.15">
      <c r="A42" s="92" t="s">
        <v>128</v>
      </c>
      <c r="B42" s="91">
        <f>B41*0.6</f>
        <v>12000</v>
      </c>
      <c r="C42" s="91">
        <f t="shared" si="6"/>
        <v>18000</v>
      </c>
      <c r="D42" s="91">
        <f t="shared" si="3"/>
        <v>22500</v>
      </c>
      <c r="E42" s="91">
        <f t="shared" si="4"/>
        <v>28125</v>
      </c>
      <c r="F42" s="91">
        <f t="shared" si="7"/>
        <v>35156.25</v>
      </c>
    </row>
    <row r="43" spans="1:25" x14ac:dyDescent="0.15">
      <c r="A43" s="92"/>
      <c r="B43" s="91"/>
      <c r="C43" s="91"/>
      <c r="D43" s="91"/>
      <c r="E43" s="91"/>
      <c r="F43" s="91"/>
    </row>
    <row r="44" spans="1:25" x14ac:dyDescent="0.15">
      <c r="A44" s="104" t="s">
        <v>135</v>
      </c>
      <c r="B44" s="91">
        <f>Depr.!B46</f>
        <v>543500</v>
      </c>
      <c r="C44" s="91">
        <f t="shared" si="6"/>
        <v>815250</v>
      </c>
      <c r="D44" s="91">
        <f t="shared" si="3"/>
        <v>1019062.5</v>
      </c>
      <c r="E44" s="91">
        <f t="shared" si="4"/>
        <v>1273828.125</v>
      </c>
      <c r="F44" s="91">
        <f t="shared" si="7"/>
        <v>1592285.15625</v>
      </c>
    </row>
    <row r="45" spans="1:25" x14ac:dyDescent="0.15">
      <c r="B45" s="91"/>
      <c r="C45" s="91"/>
      <c r="D45" s="91"/>
      <c r="E45" s="91"/>
      <c r="F45" s="91"/>
      <c r="S45" s="1" t="s">
        <v>100</v>
      </c>
      <c r="U45" s="1">
        <f>U27*0.6</f>
        <v>0.16500000000000001</v>
      </c>
      <c r="V45" s="1">
        <f>V27*0.6</f>
        <v>3.3</v>
      </c>
      <c r="W45" s="1">
        <f>W27*0.6</f>
        <v>8.25</v>
      </c>
      <c r="X45" s="1">
        <f>X27*0.6</f>
        <v>9.4049999999999994</v>
      </c>
      <c r="Y45" s="1">
        <f>Y27*0.6</f>
        <v>11.549999999999999</v>
      </c>
    </row>
    <row r="46" spans="1:25" x14ac:dyDescent="0.15">
      <c r="A46" s="31" t="s">
        <v>42</v>
      </c>
      <c r="B46" s="143">
        <f>SUM(B14:B42)</f>
        <v>2280000</v>
      </c>
      <c r="C46" s="143">
        <f t="shared" ref="C46:F46" si="9">SUM(C14:C42)</f>
        <v>4045000</v>
      </c>
      <c r="D46" s="143">
        <f t="shared" si="9"/>
        <v>5056250</v>
      </c>
      <c r="E46" s="143">
        <f t="shared" si="9"/>
        <v>6320312.5</v>
      </c>
      <c r="F46" s="143">
        <f t="shared" si="9"/>
        <v>7900390.625</v>
      </c>
      <c r="G46" s="61"/>
      <c r="S46" s="1" t="s">
        <v>101</v>
      </c>
      <c r="U46" s="1">
        <f>U27*0.15</f>
        <v>4.1250000000000002E-2</v>
      </c>
      <c r="V46" s="1">
        <f>V27*0.15</f>
        <v>0.82499999999999996</v>
      </c>
      <c r="W46" s="1">
        <f>W27*0.15</f>
        <v>2.0625</v>
      </c>
      <c r="X46" s="1">
        <f>X27*0.15</f>
        <v>2.3512499999999998</v>
      </c>
      <c r="Y46" s="1">
        <f>Y27*0.15</f>
        <v>2.8874999999999997</v>
      </c>
    </row>
    <row r="47" spans="1:25" x14ac:dyDescent="0.15">
      <c r="A47" s="31"/>
      <c r="B47" s="91"/>
      <c r="C47" s="91"/>
      <c r="D47" s="91"/>
      <c r="E47" s="91"/>
      <c r="F47" s="91"/>
    </row>
    <row r="48" spans="1:25" x14ac:dyDescent="0.15">
      <c r="A48" s="31"/>
      <c r="B48" s="91"/>
      <c r="C48" s="91"/>
      <c r="D48" s="91"/>
      <c r="E48" s="91"/>
      <c r="F48" s="91"/>
      <c r="Q48" s="1" t="s">
        <v>196</v>
      </c>
      <c r="T48" s="1" t="s">
        <v>113</v>
      </c>
      <c r="U48" s="1">
        <v>10</v>
      </c>
      <c r="V48" s="1">
        <f t="shared" ref="V48" si="10">U48*1.1</f>
        <v>11</v>
      </c>
      <c r="W48" s="1">
        <f t="shared" ref="W48:Y48" si="11">V48*1.1</f>
        <v>12.100000000000001</v>
      </c>
      <c r="X48" s="1">
        <f t="shared" si="11"/>
        <v>13.310000000000002</v>
      </c>
      <c r="Y48" s="1">
        <f t="shared" si="11"/>
        <v>14.641000000000004</v>
      </c>
    </row>
    <row r="49" spans="1:25" x14ac:dyDescent="0.15">
      <c r="A49" s="96" t="s">
        <v>141</v>
      </c>
      <c r="B49" s="143">
        <f>B10-B44-B46</f>
        <v>1676500</v>
      </c>
      <c r="C49" s="143">
        <f>C10-C44-C46</f>
        <v>23139750</v>
      </c>
      <c r="D49" s="143">
        <f>D10-D44-D46</f>
        <v>83924687.5</v>
      </c>
      <c r="E49" s="143">
        <f>E10-E44-E46</f>
        <v>317405859.375</v>
      </c>
      <c r="F49" s="143">
        <f>F10-F44-F46</f>
        <v>790507324.21875</v>
      </c>
      <c r="Q49" s="1" t="s">
        <v>114</v>
      </c>
      <c r="S49" s="1" t="s">
        <v>115</v>
      </c>
      <c r="U49" s="1">
        <v>480000</v>
      </c>
      <c r="V49" s="1">
        <f>U49*1.5</f>
        <v>720000</v>
      </c>
      <c r="W49" s="1">
        <f t="shared" ref="W49:Y50" si="12">V49*1.5</f>
        <v>1080000</v>
      </c>
      <c r="X49" s="1">
        <f t="shared" si="12"/>
        <v>1620000</v>
      </c>
      <c r="Y49" s="1">
        <f t="shared" si="12"/>
        <v>2430000</v>
      </c>
    </row>
    <row r="50" spans="1:25" x14ac:dyDescent="0.15">
      <c r="A50" s="31"/>
      <c r="B50" s="91"/>
      <c r="C50" s="91"/>
      <c r="D50" s="91"/>
      <c r="E50" s="91"/>
      <c r="F50" s="91"/>
      <c r="Q50" s="1" t="s">
        <v>116</v>
      </c>
      <c r="U50" s="1">
        <v>2000</v>
      </c>
      <c r="V50" s="1">
        <f>U50*1.5</f>
        <v>3000</v>
      </c>
      <c r="W50" s="1">
        <f t="shared" si="12"/>
        <v>4500</v>
      </c>
      <c r="X50" s="1">
        <f t="shared" si="12"/>
        <v>6750</v>
      </c>
      <c r="Y50" s="1">
        <f t="shared" si="12"/>
        <v>10125</v>
      </c>
    </row>
    <row r="51" spans="1:25" x14ac:dyDescent="0.15">
      <c r="A51" s="97" t="s">
        <v>142</v>
      </c>
      <c r="B51" s="91">
        <f>B49*0.25</f>
        <v>419125</v>
      </c>
      <c r="C51" s="91">
        <f t="shared" ref="C51:F51" si="13">C49*0.25</f>
        <v>5784937.5</v>
      </c>
      <c r="D51" s="91">
        <f>D49*0.25</f>
        <v>20981171.875</v>
      </c>
      <c r="E51" s="91">
        <f t="shared" si="13"/>
        <v>79351464.84375</v>
      </c>
      <c r="F51" s="91">
        <f t="shared" si="13"/>
        <v>197626831.0546875</v>
      </c>
      <c r="Q51" s="98" t="s">
        <v>127</v>
      </c>
      <c r="T51" s="1" t="s">
        <v>113</v>
      </c>
      <c r="U51" s="1">
        <v>0</v>
      </c>
      <c r="V51" s="1">
        <v>25</v>
      </c>
      <c r="W51" s="1">
        <v>35</v>
      </c>
      <c r="X51" s="1">
        <v>40</v>
      </c>
      <c r="Y51" s="1">
        <v>45</v>
      </c>
    </row>
    <row r="52" spans="1:25" x14ac:dyDescent="0.15">
      <c r="A52" s="31"/>
      <c r="B52" s="91"/>
      <c r="C52" s="91"/>
      <c r="D52" s="91"/>
      <c r="E52" s="91"/>
      <c r="F52" s="91"/>
    </row>
    <row r="53" spans="1:25" x14ac:dyDescent="0.15">
      <c r="A53" s="96" t="s">
        <v>144</v>
      </c>
      <c r="B53" s="143">
        <f t="shared" ref="B53:F53" si="14">B49-B51</f>
        <v>1257375</v>
      </c>
      <c r="C53" s="143">
        <f t="shared" si="14"/>
        <v>17354812.5</v>
      </c>
      <c r="D53" s="143">
        <f>D49-D51</f>
        <v>62943515.625</v>
      </c>
      <c r="E53" s="143">
        <f t="shared" si="14"/>
        <v>238054394.53125</v>
      </c>
      <c r="F53" s="143">
        <f t="shared" si="14"/>
        <v>592880493.1640625</v>
      </c>
      <c r="Q53" s="1" t="s">
        <v>91</v>
      </c>
    </row>
    <row r="54" spans="1:25" x14ac:dyDescent="0.15">
      <c r="A54" s="31"/>
      <c r="B54" s="91"/>
      <c r="C54" s="91"/>
      <c r="D54" s="91"/>
      <c r="E54" s="91"/>
      <c r="F54" s="91"/>
      <c r="Q54" s="1" t="s">
        <v>117</v>
      </c>
      <c r="U54" s="1">
        <v>250000</v>
      </c>
    </row>
    <row r="55" spans="1:25" x14ac:dyDescent="0.15">
      <c r="A55" s="97" t="s">
        <v>143</v>
      </c>
      <c r="B55" s="91">
        <f>B44</f>
        <v>543500</v>
      </c>
      <c r="C55" s="91">
        <f t="shared" ref="C55:F55" si="15">C44</f>
        <v>815250</v>
      </c>
      <c r="D55" s="91">
        <f t="shared" si="15"/>
        <v>1019062.5</v>
      </c>
      <c r="E55" s="91">
        <f t="shared" si="15"/>
        <v>1273828.125</v>
      </c>
      <c r="F55" s="91">
        <f t="shared" si="15"/>
        <v>1592285.15625</v>
      </c>
      <c r="Q55" s="1" t="s">
        <v>118</v>
      </c>
      <c r="U55" s="1">
        <v>2</v>
      </c>
    </row>
    <row r="56" spans="1:25" x14ac:dyDescent="0.15">
      <c r="A56" s="31"/>
      <c r="B56" s="91"/>
      <c r="C56" s="91"/>
      <c r="D56" s="91"/>
      <c r="E56" s="91"/>
      <c r="F56" s="91"/>
      <c r="Q56" s="1" t="s">
        <v>119</v>
      </c>
    </row>
    <row r="57" spans="1:25" x14ac:dyDescent="0.15">
      <c r="A57" s="97" t="s">
        <v>145</v>
      </c>
      <c r="B57" s="91">
        <f t="shared" ref="B57:F57" si="16">B53+B55</f>
        <v>1800875</v>
      </c>
      <c r="C57" s="91">
        <f t="shared" si="16"/>
        <v>18170062.5</v>
      </c>
      <c r="D57" s="91">
        <f t="shared" si="16"/>
        <v>63962578.125</v>
      </c>
      <c r="E57" s="91">
        <f t="shared" si="16"/>
        <v>239328222.65625</v>
      </c>
      <c r="F57" s="91">
        <f t="shared" si="16"/>
        <v>594472778.3203125</v>
      </c>
      <c r="Q57" s="1" t="s">
        <v>113</v>
      </c>
    </row>
    <row r="58" spans="1:25" x14ac:dyDescent="0.15">
      <c r="A58" s="97"/>
      <c r="B58" s="91"/>
      <c r="C58" s="91"/>
      <c r="D58" s="91"/>
      <c r="E58" s="91"/>
      <c r="F58" s="146"/>
    </row>
    <row r="59" spans="1:25" x14ac:dyDescent="0.15">
      <c r="A59" s="58"/>
      <c r="B59" s="116"/>
      <c r="C59" s="116"/>
      <c r="D59" s="116"/>
      <c r="E59" s="116"/>
      <c r="F59" s="116"/>
      <c r="Q59" s="1" t="s">
        <v>120</v>
      </c>
      <c r="U59" s="1">
        <v>100000</v>
      </c>
    </row>
    <row r="64" spans="1:25" x14ac:dyDescent="0.15">
      <c r="C64" s="36"/>
    </row>
    <row r="65" spans="3:5" x14ac:dyDescent="0.15">
      <c r="C65" s="36"/>
      <c r="D65" s="36"/>
      <c r="E65" s="36"/>
    </row>
  </sheetData>
  <mergeCells count="2">
    <mergeCell ref="B4:F4"/>
    <mergeCell ref="A4:A5"/>
  </mergeCells>
  <pageMargins left="0.84" right="0.44" top="0.89" bottom="0.57999999999999996" header="0.26" footer="0.5"/>
  <pageSetup scale="62" orientation="portrait" verticalDpi="144" r:id="rId1"/>
  <headerFooter alignWithMargins="0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K51"/>
  <sheetViews>
    <sheetView topLeftCell="A8" workbookViewId="0">
      <selection activeCell="C10" sqref="C10"/>
    </sheetView>
  </sheetViews>
  <sheetFormatPr baseColWidth="10" defaultColWidth="9" defaultRowHeight="13" x14ac:dyDescent="0.15"/>
  <cols>
    <col min="2" max="2" width="38.83203125" customWidth="1"/>
    <col min="3" max="3" width="15.1640625" customWidth="1"/>
    <col min="4" max="4" width="15.33203125" customWidth="1"/>
    <col min="5" max="5" width="11.5" bestFit="1" customWidth="1"/>
    <col min="6" max="6" width="13.1640625" customWidth="1"/>
    <col min="7" max="7" width="12.5" bestFit="1" customWidth="1"/>
    <col min="9" max="9" width="38.1640625" customWidth="1"/>
    <col min="11" max="11" width="15.1640625" customWidth="1"/>
  </cols>
  <sheetData>
    <row r="1" spans="2:11" x14ac:dyDescent="0.15">
      <c r="B1" s="113" t="str">
        <f>profit!A1</f>
        <v>TRESBIZZ</v>
      </c>
    </row>
    <row r="2" spans="2:11" ht="14" x14ac:dyDescent="0.15">
      <c r="B2" s="113" t="s">
        <v>185</v>
      </c>
      <c r="C2" s="175"/>
      <c r="D2" s="175"/>
      <c r="E2" s="175"/>
      <c r="F2" s="175"/>
      <c r="G2" s="175"/>
      <c r="I2" s="6"/>
    </row>
    <row r="3" spans="2:11" ht="14" x14ac:dyDescent="0.15">
      <c r="B3" s="113" t="s">
        <v>111</v>
      </c>
      <c r="H3" s="52"/>
      <c r="I3" s="52"/>
      <c r="J3" s="52"/>
      <c r="K3" s="6"/>
    </row>
    <row r="4" spans="2:11" ht="14" x14ac:dyDescent="0.15">
      <c r="H4" s="52"/>
      <c r="I4" s="52"/>
      <c r="J4" s="52"/>
      <c r="K4" s="6"/>
    </row>
    <row r="5" spans="2:11" ht="14" x14ac:dyDescent="0.15">
      <c r="G5" s="4" t="s">
        <v>129</v>
      </c>
      <c r="H5" s="52"/>
      <c r="I5" s="52"/>
      <c r="J5" s="52"/>
      <c r="K5" s="6"/>
    </row>
    <row r="6" spans="2:11" ht="14" x14ac:dyDescent="0.15">
      <c r="B6" s="114" t="s">
        <v>39</v>
      </c>
      <c r="C6" s="115">
        <v>1</v>
      </c>
      <c r="D6" s="115">
        <v>2</v>
      </c>
      <c r="E6" s="115">
        <v>3</v>
      </c>
      <c r="F6" s="115">
        <v>4</v>
      </c>
      <c r="G6" s="115">
        <v>5</v>
      </c>
      <c r="H6" s="52"/>
      <c r="I6" s="52"/>
      <c r="J6" s="53"/>
      <c r="K6" s="6"/>
    </row>
    <row r="7" spans="2:11" ht="14" x14ac:dyDescent="0.15">
      <c r="B7" s="93" t="s">
        <v>125</v>
      </c>
      <c r="C7" s="91"/>
      <c r="D7" s="91"/>
      <c r="E7" s="91"/>
      <c r="F7" s="91"/>
      <c r="G7" s="91"/>
      <c r="H7" s="54"/>
      <c r="I7" s="52"/>
      <c r="J7" s="52"/>
      <c r="K7" s="52"/>
    </row>
    <row r="8" spans="2:11" ht="14" x14ac:dyDescent="0.15">
      <c r="B8" s="93"/>
      <c r="C8" s="91"/>
      <c r="D8" s="91"/>
      <c r="E8" s="91"/>
      <c r="F8" s="91"/>
      <c r="G8" s="91"/>
      <c r="H8" s="54"/>
      <c r="I8" s="157" t="s">
        <v>193</v>
      </c>
      <c r="J8" s="52"/>
      <c r="K8" s="6"/>
    </row>
    <row r="9" spans="2:11" ht="14" x14ac:dyDescent="0.15">
      <c r="B9" s="96" t="s">
        <v>132</v>
      </c>
      <c r="C9" s="1"/>
      <c r="D9" s="1"/>
      <c r="E9" s="1"/>
      <c r="F9" s="1"/>
      <c r="G9" s="91"/>
      <c r="H9" s="54"/>
      <c r="I9" s="157" t="s">
        <v>194</v>
      </c>
      <c r="J9" s="52"/>
      <c r="K9" s="52"/>
    </row>
    <row r="10" spans="2:11" ht="15" x14ac:dyDescent="0.15">
      <c r="B10" s="92" t="s">
        <v>122</v>
      </c>
      <c r="C10" s="91">
        <v>750000</v>
      </c>
      <c r="D10" s="91">
        <v>1750000</v>
      </c>
      <c r="E10" s="91">
        <f t="shared" ref="E10:G11" si="0">D10*1.25</f>
        <v>2187500</v>
      </c>
      <c r="F10" s="91">
        <f t="shared" si="0"/>
        <v>2734375</v>
      </c>
      <c r="G10" s="91">
        <f t="shared" si="0"/>
        <v>3417968.75</v>
      </c>
      <c r="H10" s="54"/>
      <c r="I10" s="52"/>
      <c r="J10" s="52"/>
      <c r="K10" s="52"/>
    </row>
    <row r="11" spans="2:11" ht="15" x14ac:dyDescent="0.15">
      <c r="B11" s="92" t="s">
        <v>123</v>
      </c>
      <c r="C11" s="101">
        <v>200000</v>
      </c>
      <c r="D11" s="91">
        <f>C11*1.5</f>
        <v>300000</v>
      </c>
      <c r="E11" s="91">
        <f t="shared" si="0"/>
        <v>375000</v>
      </c>
      <c r="F11" s="91">
        <f t="shared" si="0"/>
        <v>468750</v>
      </c>
      <c r="G11" s="91">
        <f t="shared" si="0"/>
        <v>585937.5</v>
      </c>
      <c r="H11" s="54"/>
      <c r="I11" s="52"/>
      <c r="J11" s="52"/>
      <c r="K11" s="52"/>
    </row>
    <row r="12" spans="2:11" ht="15" x14ac:dyDescent="0.15">
      <c r="B12" s="92" t="s">
        <v>128</v>
      </c>
      <c r="C12" s="101">
        <f>C11*0.6</f>
        <v>120000</v>
      </c>
      <c r="D12" s="101">
        <f t="shared" ref="D12:G12" si="1">D11*0.6</f>
        <v>180000</v>
      </c>
      <c r="E12" s="101">
        <f t="shared" si="1"/>
        <v>225000</v>
      </c>
      <c r="F12" s="101">
        <f t="shared" si="1"/>
        <v>281250</v>
      </c>
      <c r="G12" s="101">
        <f t="shared" si="1"/>
        <v>351562.5</v>
      </c>
      <c r="H12" s="54"/>
      <c r="I12" s="52"/>
      <c r="J12" s="52"/>
      <c r="K12" s="52"/>
    </row>
    <row r="13" spans="2:11" ht="15" x14ac:dyDescent="0.2">
      <c r="B13" s="1"/>
      <c r="C13" s="91"/>
      <c r="D13" s="91"/>
      <c r="E13" s="91"/>
      <c r="F13" s="91"/>
      <c r="G13" s="91"/>
      <c r="H13" s="54"/>
      <c r="I13" s="55"/>
      <c r="J13" s="52"/>
      <c r="K13" s="52"/>
    </row>
    <row r="14" spans="2:11" ht="14" x14ac:dyDescent="0.15">
      <c r="B14" s="102" t="s">
        <v>130</v>
      </c>
      <c r="C14" s="91">
        <v>750000</v>
      </c>
      <c r="D14" s="91">
        <f>C14*1.5</f>
        <v>1125000</v>
      </c>
      <c r="E14" s="91">
        <f>D14*1.25</f>
        <v>1406250</v>
      </c>
      <c r="F14" s="91">
        <f>E14*1.25</f>
        <v>1757812.5</v>
      </c>
      <c r="G14" s="91">
        <f>F14*1.25</f>
        <v>2197265.625</v>
      </c>
    </row>
    <row r="15" spans="2:11" ht="14" x14ac:dyDescent="0.15">
      <c r="B15" s="92"/>
      <c r="C15" s="91"/>
      <c r="D15" s="91"/>
      <c r="E15" s="91"/>
      <c r="F15" s="91"/>
      <c r="G15" s="91"/>
    </row>
    <row r="16" spans="2:11" ht="15" x14ac:dyDescent="0.15">
      <c r="B16" s="103" t="s">
        <v>131</v>
      </c>
      <c r="C16" s="91">
        <v>75000</v>
      </c>
      <c r="D16" s="91">
        <f t="shared" ref="D16" si="2">C16*1.5</f>
        <v>112500</v>
      </c>
      <c r="E16" s="91">
        <f t="shared" ref="E16:G39" si="3">D16*1.25</f>
        <v>140625</v>
      </c>
      <c r="F16" s="91">
        <f t="shared" si="3"/>
        <v>175781.25</v>
      </c>
      <c r="G16" s="91">
        <f t="shared" si="3"/>
        <v>219726.5625</v>
      </c>
    </row>
    <row r="17" spans="2:7" ht="14" x14ac:dyDescent="0.15">
      <c r="B17" s="93"/>
      <c r="C17" s="91"/>
      <c r="D17" s="91"/>
      <c r="E17" s="91"/>
      <c r="F17" s="91"/>
      <c r="G17" s="91"/>
    </row>
    <row r="18" spans="2:7" ht="15" x14ac:dyDescent="0.15">
      <c r="B18" s="95" t="s">
        <v>121</v>
      </c>
      <c r="C18" s="91"/>
      <c r="D18" s="91"/>
      <c r="E18" s="91"/>
      <c r="F18" s="91"/>
      <c r="G18" s="91"/>
    </row>
    <row r="19" spans="2:7" ht="15" x14ac:dyDescent="0.15">
      <c r="B19" s="92" t="s">
        <v>122</v>
      </c>
      <c r="C19" s="91">
        <v>100000</v>
      </c>
      <c r="D19" s="91">
        <f>C19*1.5</f>
        <v>150000</v>
      </c>
      <c r="E19" s="91">
        <f t="shared" si="3"/>
        <v>187500</v>
      </c>
      <c r="F19" s="91">
        <f t="shared" si="3"/>
        <v>234375</v>
      </c>
      <c r="G19" s="91">
        <f>F19*1.25</f>
        <v>292968.75</v>
      </c>
    </row>
    <row r="20" spans="2:7" ht="15" x14ac:dyDescent="0.15">
      <c r="B20" s="92" t="s">
        <v>123</v>
      </c>
      <c r="C20" s="101">
        <v>100000</v>
      </c>
      <c r="D20" s="91">
        <f t="shared" ref="D20:D39" si="4">C20*1.5</f>
        <v>150000</v>
      </c>
      <c r="E20" s="91">
        <f t="shared" si="3"/>
        <v>187500</v>
      </c>
      <c r="F20" s="91">
        <f t="shared" si="3"/>
        <v>234375</v>
      </c>
      <c r="G20" s="91">
        <f t="shared" si="3"/>
        <v>292968.75</v>
      </c>
    </row>
    <row r="21" spans="2:7" ht="15" x14ac:dyDescent="0.15">
      <c r="B21" s="92" t="s">
        <v>128</v>
      </c>
      <c r="C21" s="91">
        <v>50000</v>
      </c>
      <c r="D21" s="91">
        <f>C21*1.5</f>
        <v>75000</v>
      </c>
      <c r="E21" s="91">
        <f t="shared" si="3"/>
        <v>93750</v>
      </c>
      <c r="F21" s="91">
        <f t="shared" si="3"/>
        <v>117187.5</v>
      </c>
      <c r="G21" s="91">
        <f t="shared" si="3"/>
        <v>146484.375</v>
      </c>
    </row>
    <row r="22" spans="2:7" ht="14" x14ac:dyDescent="0.15">
      <c r="B22" s="96" t="s">
        <v>124</v>
      </c>
      <c r="C22" s="91"/>
      <c r="D22" s="91"/>
      <c r="E22" s="91"/>
      <c r="F22" s="91"/>
      <c r="G22" s="91"/>
    </row>
    <row r="23" spans="2:7" ht="15" x14ac:dyDescent="0.15">
      <c r="B23" s="92" t="s">
        <v>122</v>
      </c>
      <c r="C23" s="91">
        <v>10000</v>
      </c>
      <c r="D23" s="91">
        <f t="shared" si="4"/>
        <v>15000</v>
      </c>
      <c r="E23" s="91">
        <f t="shared" si="3"/>
        <v>18750</v>
      </c>
      <c r="F23" s="91">
        <f t="shared" si="3"/>
        <v>23437.5</v>
      </c>
      <c r="G23" s="91">
        <f t="shared" si="3"/>
        <v>29296.875</v>
      </c>
    </row>
    <row r="24" spans="2:7" ht="15" x14ac:dyDescent="0.15">
      <c r="B24" s="92" t="s">
        <v>123</v>
      </c>
      <c r="C24" s="91">
        <v>10000</v>
      </c>
      <c r="D24" s="91">
        <f t="shared" si="4"/>
        <v>15000</v>
      </c>
      <c r="E24" s="91">
        <f t="shared" si="3"/>
        <v>18750</v>
      </c>
      <c r="F24" s="91">
        <f t="shared" si="3"/>
        <v>23437.5</v>
      </c>
      <c r="G24" s="91">
        <f t="shared" si="3"/>
        <v>29296.875</v>
      </c>
    </row>
    <row r="25" spans="2:7" ht="15" x14ac:dyDescent="0.15">
      <c r="B25" s="92" t="s">
        <v>128</v>
      </c>
      <c r="C25" s="91">
        <f>C24*0.6</f>
        <v>6000</v>
      </c>
      <c r="D25" s="91">
        <f t="shared" si="4"/>
        <v>9000</v>
      </c>
      <c r="E25" s="91">
        <f t="shared" si="3"/>
        <v>11250</v>
      </c>
      <c r="F25" s="91">
        <f t="shared" si="3"/>
        <v>14062.5</v>
      </c>
      <c r="G25" s="91">
        <f t="shared" si="3"/>
        <v>17578.125</v>
      </c>
    </row>
    <row r="26" spans="2:7" ht="14" x14ac:dyDescent="0.15">
      <c r="B26" s="2" t="s">
        <v>200</v>
      </c>
      <c r="C26" s="1"/>
      <c r="D26" s="91"/>
      <c r="E26" s="91"/>
      <c r="F26" s="91"/>
      <c r="G26" s="91"/>
    </row>
    <row r="27" spans="2:7" ht="15" x14ac:dyDescent="0.15">
      <c r="B27" s="92" t="s">
        <v>122</v>
      </c>
      <c r="C27" s="91">
        <v>0</v>
      </c>
      <c r="D27" s="91">
        <f t="shared" si="4"/>
        <v>0</v>
      </c>
      <c r="E27" s="91">
        <f t="shared" si="3"/>
        <v>0</v>
      </c>
      <c r="F27" s="91">
        <f t="shared" si="3"/>
        <v>0</v>
      </c>
      <c r="G27" s="91">
        <f t="shared" si="3"/>
        <v>0</v>
      </c>
    </row>
    <row r="28" spans="2:7" ht="15" x14ac:dyDescent="0.15">
      <c r="B28" s="92" t="s">
        <v>123</v>
      </c>
      <c r="C28" s="91">
        <v>25000</v>
      </c>
      <c r="D28" s="91">
        <f t="shared" si="4"/>
        <v>37500</v>
      </c>
      <c r="E28" s="91">
        <f t="shared" si="3"/>
        <v>46875</v>
      </c>
      <c r="F28" s="91">
        <f t="shared" si="3"/>
        <v>58593.75</v>
      </c>
      <c r="G28" s="91">
        <f t="shared" si="3"/>
        <v>73242.1875</v>
      </c>
    </row>
    <row r="29" spans="2:7" ht="15" x14ac:dyDescent="0.15">
      <c r="B29" s="92" t="s">
        <v>128</v>
      </c>
      <c r="C29" s="91">
        <v>5000</v>
      </c>
      <c r="D29" s="91">
        <f t="shared" si="4"/>
        <v>7500</v>
      </c>
      <c r="E29" s="91">
        <f t="shared" si="3"/>
        <v>9375</v>
      </c>
      <c r="F29" s="91">
        <f t="shared" si="3"/>
        <v>11718.75</v>
      </c>
      <c r="G29" s="91">
        <f t="shared" si="3"/>
        <v>14648.4375</v>
      </c>
    </row>
    <row r="30" spans="2:7" ht="15" x14ac:dyDescent="0.15">
      <c r="B30" s="103" t="s">
        <v>133</v>
      </c>
      <c r="C30" s="1"/>
      <c r="D30" s="91"/>
      <c r="E30" s="91"/>
      <c r="F30" s="91"/>
      <c r="G30" s="91"/>
    </row>
    <row r="31" spans="2:7" ht="15" x14ac:dyDescent="0.15">
      <c r="B31" s="92" t="s">
        <v>122</v>
      </c>
      <c r="C31" s="91">
        <v>10000</v>
      </c>
      <c r="D31" s="91">
        <f t="shared" si="4"/>
        <v>15000</v>
      </c>
      <c r="E31" s="91">
        <f t="shared" si="3"/>
        <v>18750</v>
      </c>
      <c r="F31" s="91">
        <f t="shared" si="3"/>
        <v>23437.5</v>
      </c>
      <c r="G31" s="91">
        <f t="shared" si="3"/>
        <v>29296.875</v>
      </c>
    </row>
    <row r="32" spans="2:7" ht="15" x14ac:dyDescent="0.15">
      <c r="B32" s="92" t="s">
        <v>123</v>
      </c>
      <c r="C32" s="91">
        <v>7500</v>
      </c>
      <c r="D32" s="91">
        <f t="shared" si="4"/>
        <v>11250</v>
      </c>
      <c r="E32" s="91">
        <f t="shared" si="3"/>
        <v>14062.5</v>
      </c>
      <c r="F32" s="91">
        <f t="shared" si="3"/>
        <v>17578.125</v>
      </c>
      <c r="G32" s="91">
        <f t="shared" si="3"/>
        <v>21972.65625</v>
      </c>
    </row>
    <row r="33" spans="2:7" ht="15" x14ac:dyDescent="0.15">
      <c r="B33" s="92" t="s">
        <v>128</v>
      </c>
      <c r="C33" s="91">
        <f>C32*0.6</f>
        <v>4500</v>
      </c>
      <c r="D33" s="91">
        <f t="shared" si="4"/>
        <v>6750</v>
      </c>
      <c r="E33" s="91">
        <f t="shared" si="3"/>
        <v>8437.5</v>
      </c>
      <c r="F33" s="91">
        <f t="shared" si="3"/>
        <v>10546.875</v>
      </c>
      <c r="G33" s="91">
        <f t="shared" si="3"/>
        <v>13183.59375</v>
      </c>
    </row>
    <row r="34" spans="2:7" ht="15" x14ac:dyDescent="0.15">
      <c r="B34" s="103" t="s">
        <v>134</v>
      </c>
      <c r="C34" s="91"/>
      <c r="D34" s="91"/>
      <c r="E34" s="91"/>
      <c r="F34" s="91"/>
      <c r="G34" s="91"/>
    </row>
    <row r="35" spans="2:7" ht="15" x14ac:dyDescent="0.15">
      <c r="B35" s="92" t="s">
        <v>122</v>
      </c>
      <c r="C35" s="91">
        <v>25000</v>
      </c>
      <c r="D35" s="91">
        <f t="shared" si="4"/>
        <v>37500</v>
      </c>
      <c r="E35" s="91">
        <f t="shared" si="3"/>
        <v>46875</v>
      </c>
      <c r="F35" s="91">
        <f t="shared" si="3"/>
        <v>58593.75</v>
      </c>
      <c r="G35" s="91">
        <f t="shared" si="3"/>
        <v>73242.1875</v>
      </c>
    </row>
    <row r="36" spans="2:7" ht="15" x14ac:dyDescent="0.15">
      <c r="B36" s="92" t="s">
        <v>123</v>
      </c>
      <c r="C36" s="91">
        <f>C35*0.8</f>
        <v>20000</v>
      </c>
      <c r="D36" s="91">
        <f t="shared" si="4"/>
        <v>30000</v>
      </c>
      <c r="E36" s="91">
        <f t="shared" si="3"/>
        <v>37500</v>
      </c>
      <c r="F36" s="91">
        <f t="shared" si="3"/>
        <v>46875</v>
      </c>
      <c r="G36" s="91">
        <f t="shared" si="3"/>
        <v>58593.75</v>
      </c>
    </row>
    <row r="37" spans="2:7" ht="15" x14ac:dyDescent="0.15">
      <c r="B37" s="92" t="s">
        <v>128</v>
      </c>
      <c r="C37" s="91">
        <f>C36*0.6</f>
        <v>12000</v>
      </c>
      <c r="D37" s="91">
        <f t="shared" si="4"/>
        <v>18000</v>
      </c>
      <c r="E37" s="91">
        <f t="shared" si="3"/>
        <v>22500</v>
      </c>
      <c r="F37" s="91">
        <f t="shared" si="3"/>
        <v>28125</v>
      </c>
      <c r="G37" s="91">
        <f t="shared" si="3"/>
        <v>35156.25</v>
      </c>
    </row>
    <row r="38" spans="2:7" ht="14" x14ac:dyDescent="0.15">
      <c r="B38" s="92"/>
      <c r="C38" s="91"/>
      <c r="D38" s="91"/>
      <c r="E38" s="91"/>
      <c r="F38" s="91"/>
      <c r="G38" s="91"/>
    </row>
    <row r="39" spans="2:7" ht="14" x14ac:dyDescent="0.15">
      <c r="B39" s="104" t="s">
        <v>135</v>
      </c>
      <c r="C39" s="91">
        <f>Depr.!C41</f>
        <v>0</v>
      </c>
      <c r="D39" s="91">
        <f t="shared" si="4"/>
        <v>0</v>
      </c>
      <c r="E39" s="91">
        <f t="shared" si="3"/>
        <v>0</v>
      </c>
      <c r="F39" s="91">
        <f t="shared" si="3"/>
        <v>0</v>
      </c>
      <c r="G39" s="91">
        <f t="shared" si="3"/>
        <v>0</v>
      </c>
    </row>
    <row r="40" spans="2:7" ht="14" x14ac:dyDescent="0.15">
      <c r="B40" s="1"/>
      <c r="C40" s="91"/>
      <c r="D40" s="91"/>
      <c r="E40" s="91"/>
      <c r="F40" s="91"/>
      <c r="G40" s="91"/>
    </row>
    <row r="41" spans="2:7" ht="14" x14ac:dyDescent="0.15">
      <c r="B41" s="31" t="s">
        <v>42</v>
      </c>
      <c r="C41" s="143">
        <f>SUM(C9:C37)</f>
        <v>2280000</v>
      </c>
      <c r="D41" s="143">
        <f t="shared" ref="D41:G41" si="5">SUM(D9:D37)</f>
        <v>4045000</v>
      </c>
      <c r="E41" s="143">
        <f t="shared" si="5"/>
        <v>5056250</v>
      </c>
      <c r="F41" s="143">
        <f t="shared" si="5"/>
        <v>6320312.5</v>
      </c>
      <c r="G41" s="143">
        <f t="shared" si="5"/>
        <v>7900390.625</v>
      </c>
    </row>
    <row r="51" spans="3:3" x14ac:dyDescent="0.15">
      <c r="C51">
        <v>1</v>
      </c>
    </row>
  </sheetData>
  <mergeCells count="1">
    <mergeCell ref="C2:G2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52"/>
  <sheetViews>
    <sheetView topLeftCell="A25" workbookViewId="0">
      <selection activeCell="I15" sqref="I15"/>
    </sheetView>
  </sheetViews>
  <sheetFormatPr baseColWidth="10" defaultColWidth="9.1640625" defaultRowHeight="14" x14ac:dyDescent="0.15"/>
  <cols>
    <col min="1" max="1" width="35.83203125" style="1" customWidth="1"/>
    <col min="2" max="2" width="15.83203125" style="1" customWidth="1"/>
    <col min="3" max="3" width="15.5" style="1" customWidth="1"/>
    <col min="4" max="4" width="14.83203125" style="1" customWidth="1"/>
    <col min="5" max="6" width="13.1640625" style="1" bestFit="1" customWidth="1"/>
    <col min="7" max="16384" width="9.1640625" style="1"/>
  </cols>
  <sheetData>
    <row r="1" spans="1:12" x14ac:dyDescent="0.15">
      <c r="A1" s="171" t="str">
        <f>Cost!A1</f>
        <v>TRESBIZZ</v>
      </c>
      <c r="B1" s="171"/>
      <c r="C1" s="171"/>
      <c r="D1" s="171"/>
    </row>
    <row r="2" spans="1:12" x14ac:dyDescent="0.15">
      <c r="A2" s="172"/>
      <c r="B2" s="172"/>
      <c r="C2" s="172"/>
      <c r="D2" s="172"/>
    </row>
    <row r="3" spans="1:12" x14ac:dyDescent="0.15">
      <c r="A3" s="17"/>
      <c r="B3" s="17"/>
      <c r="C3" s="17"/>
      <c r="D3" s="17"/>
    </row>
    <row r="4" spans="1:12" x14ac:dyDescent="0.15">
      <c r="A4" s="171"/>
      <c r="B4" s="171"/>
      <c r="C4" s="171"/>
      <c r="D4" s="171"/>
    </row>
    <row r="7" spans="1:12" x14ac:dyDescent="0.15">
      <c r="A7" s="2" t="s">
        <v>43</v>
      </c>
    </row>
    <row r="9" spans="1:12" x14ac:dyDescent="0.15">
      <c r="A9" s="2" t="s">
        <v>44</v>
      </c>
      <c r="F9" s="4" t="s">
        <v>129</v>
      </c>
    </row>
    <row r="10" spans="1:12" x14ac:dyDescent="0.15">
      <c r="A10" s="164" t="s">
        <v>39</v>
      </c>
      <c r="B10" s="176" t="s">
        <v>70</v>
      </c>
      <c r="C10" s="169"/>
      <c r="D10" s="169"/>
      <c r="E10" s="169"/>
      <c r="F10" s="170"/>
      <c r="H10" s="1" t="s">
        <v>91</v>
      </c>
    </row>
    <row r="11" spans="1:12" x14ac:dyDescent="0.15">
      <c r="A11" s="165"/>
      <c r="B11" s="16">
        <v>1</v>
      </c>
      <c r="C11" s="16">
        <v>2</v>
      </c>
      <c r="D11" s="16">
        <v>3</v>
      </c>
      <c r="E11" s="30">
        <v>4</v>
      </c>
      <c r="F11" s="30">
        <v>5</v>
      </c>
      <c r="H11" s="1" t="s">
        <v>117</v>
      </c>
      <c r="L11" s="1">
        <v>250000</v>
      </c>
    </row>
    <row r="12" spans="1:12" x14ac:dyDescent="0.15">
      <c r="A12" s="106" t="s">
        <v>136</v>
      </c>
      <c r="B12" s="51"/>
      <c r="C12" s="50"/>
      <c r="D12" s="50"/>
      <c r="E12" s="51"/>
      <c r="F12" s="51"/>
      <c r="H12" s="1" t="s">
        <v>118</v>
      </c>
      <c r="L12" s="1">
        <v>2</v>
      </c>
    </row>
    <row r="13" spans="1:12" ht="15" x14ac:dyDescent="0.15">
      <c r="A13" s="92" t="s">
        <v>122</v>
      </c>
      <c r="B13" s="107">
        <f>L11</f>
        <v>250000</v>
      </c>
      <c r="C13" s="107">
        <f>B21</f>
        <v>212500</v>
      </c>
      <c r="D13" s="107">
        <f t="shared" ref="D13:F13" si="0">C21</f>
        <v>180625</v>
      </c>
      <c r="E13" s="107">
        <f t="shared" si="0"/>
        <v>153531.25</v>
      </c>
      <c r="F13" s="107">
        <f t="shared" si="0"/>
        <v>130501.5625</v>
      </c>
    </row>
    <row r="14" spans="1:12" ht="15" x14ac:dyDescent="0.15">
      <c r="A14" s="92" t="s">
        <v>123</v>
      </c>
      <c r="B14" s="107">
        <v>125000</v>
      </c>
      <c r="C14" s="107">
        <f t="shared" ref="C14:F15" si="1">B22</f>
        <v>106250</v>
      </c>
      <c r="D14" s="107">
        <f t="shared" si="1"/>
        <v>90312.5</v>
      </c>
      <c r="E14" s="107">
        <f t="shared" si="1"/>
        <v>76765.625</v>
      </c>
      <c r="F14" s="107">
        <f t="shared" si="1"/>
        <v>65250.78125</v>
      </c>
    </row>
    <row r="15" spans="1:12" ht="15" x14ac:dyDescent="0.15">
      <c r="A15" s="92" t="s">
        <v>128</v>
      </c>
      <c r="B15" s="107">
        <f>B14*0.6</f>
        <v>75000</v>
      </c>
      <c r="C15" s="107">
        <f t="shared" si="1"/>
        <v>63750</v>
      </c>
      <c r="D15" s="107">
        <f t="shared" si="1"/>
        <v>54187.5</v>
      </c>
      <c r="E15" s="107">
        <f t="shared" si="1"/>
        <v>46059.375</v>
      </c>
      <c r="F15" s="107">
        <f t="shared" si="1"/>
        <v>39150.46875</v>
      </c>
    </row>
    <row r="16" spans="1:12" x14ac:dyDescent="0.15">
      <c r="A16" s="106" t="s">
        <v>137</v>
      </c>
      <c r="B16" s="107"/>
      <c r="C16" s="107"/>
      <c r="D16" s="107"/>
      <c r="E16" s="107"/>
      <c r="F16" s="107"/>
      <c r="H16" s="1" t="s">
        <v>119</v>
      </c>
    </row>
    <row r="17" spans="1:12" ht="15" x14ac:dyDescent="0.15">
      <c r="A17" s="92" t="s">
        <v>122</v>
      </c>
      <c r="B17" s="107">
        <f>B13*0.15</f>
        <v>37500</v>
      </c>
      <c r="C17" s="107">
        <f t="shared" ref="C17:F17" si="2">C13*0.15</f>
        <v>31875</v>
      </c>
      <c r="D17" s="107">
        <f t="shared" si="2"/>
        <v>27093.75</v>
      </c>
      <c r="E17" s="107">
        <f t="shared" si="2"/>
        <v>23029.6875</v>
      </c>
      <c r="F17" s="107">
        <f t="shared" si="2"/>
        <v>19575.234375</v>
      </c>
    </row>
    <row r="18" spans="1:12" ht="15" x14ac:dyDescent="0.15">
      <c r="A18" s="92" t="s">
        <v>123</v>
      </c>
      <c r="B18" s="107">
        <f t="shared" ref="B18:F19" si="3">B14*0.15</f>
        <v>18750</v>
      </c>
      <c r="C18" s="107">
        <f t="shared" si="3"/>
        <v>15937.5</v>
      </c>
      <c r="D18" s="107">
        <f t="shared" si="3"/>
        <v>13546.875</v>
      </c>
      <c r="E18" s="107">
        <f t="shared" si="3"/>
        <v>11514.84375</v>
      </c>
      <c r="F18" s="107">
        <f t="shared" si="3"/>
        <v>9787.6171875</v>
      </c>
    </row>
    <row r="19" spans="1:12" ht="15" x14ac:dyDescent="0.15">
      <c r="A19" s="92" t="s">
        <v>128</v>
      </c>
      <c r="B19" s="107">
        <f t="shared" si="3"/>
        <v>11250</v>
      </c>
      <c r="C19" s="107">
        <f t="shared" si="3"/>
        <v>9562.5</v>
      </c>
      <c r="D19" s="107">
        <f t="shared" si="3"/>
        <v>8128.125</v>
      </c>
      <c r="E19" s="107">
        <f t="shared" si="3"/>
        <v>6908.90625</v>
      </c>
      <c r="F19" s="107">
        <f t="shared" si="3"/>
        <v>5872.5703125</v>
      </c>
    </row>
    <row r="20" spans="1:12" x14ac:dyDescent="0.15">
      <c r="A20" s="106" t="s">
        <v>46</v>
      </c>
      <c r="B20" s="107"/>
      <c r="C20" s="107"/>
      <c r="D20" s="107"/>
      <c r="E20" s="107"/>
      <c r="F20" s="107"/>
    </row>
    <row r="21" spans="1:12" ht="15" x14ac:dyDescent="0.15">
      <c r="A21" s="92" t="s">
        <v>122</v>
      </c>
      <c r="B21" s="107">
        <f>B13-B17</f>
        <v>212500</v>
      </c>
      <c r="C21" s="107">
        <f t="shared" ref="C21:F21" si="4">C13-C17</f>
        <v>180625</v>
      </c>
      <c r="D21" s="107">
        <f t="shared" si="4"/>
        <v>153531.25</v>
      </c>
      <c r="E21" s="107">
        <f t="shared" si="4"/>
        <v>130501.5625</v>
      </c>
      <c r="F21" s="107">
        <f t="shared" si="4"/>
        <v>110926.328125</v>
      </c>
    </row>
    <row r="22" spans="1:12" ht="15" x14ac:dyDescent="0.15">
      <c r="A22" s="92" t="s">
        <v>123</v>
      </c>
      <c r="B22" s="107">
        <f t="shared" ref="B22:F23" si="5">B14-B18</f>
        <v>106250</v>
      </c>
      <c r="C22" s="107">
        <f t="shared" si="5"/>
        <v>90312.5</v>
      </c>
      <c r="D22" s="107">
        <f t="shared" si="5"/>
        <v>76765.625</v>
      </c>
      <c r="E22" s="107">
        <f t="shared" si="5"/>
        <v>65250.78125</v>
      </c>
      <c r="F22" s="107">
        <f t="shared" si="5"/>
        <v>55463.1640625</v>
      </c>
    </row>
    <row r="23" spans="1:12" ht="15" x14ac:dyDescent="0.15">
      <c r="A23" s="92" t="s">
        <v>128</v>
      </c>
      <c r="B23" s="107">
        <f t="shared" si="5"/>
        <v>63750</v>
      </c>
      <c r="C23" s="107">
        <f t="shared" si="5"/>
        <v>54187.5</v>
      </c>
      <c r="D23" s="107">
        <f t="shared" si="5"/>
        <v>46059.375</v>
      </c>
      <c r="E23" s="107">
        <f t="shared" si="5"/>
        <v>39150.46875</v>
      </c>
      <c r="F23" s="107">
        <f t="shared" si="5"/>
        <v>33277.8984375</v>
      </c>
      <c r="H23" s="1" t="s">
        <v>113</v>
      </c>
    </row>
    <row r="24" spans="1:12" x14ac:dyDescent="0.15">
      <c r="A24" s="5"/>
      <c r="B24" s="107"/>
      <c r="C24" s="107"/>
      <c r="D24" s="107"/>
      <c r="E24" s="107"/>
      <c r="F24" s="107"/>
      <c r="H24" s="1" t="s">
        <v>120</v>
      </c>
      <c r="L24" s="1">
        <v>100000</v>
      </c>
    </row>
    <row r="25" spans="1:12" x14ac:dyDescent="0.15">
      <c r="A25" s="106" t="s">
        <v>138</v>
      </c>
      <c r="B25" s="107"/>
      <c r="C25" s="107"/>
      <c r="D25" s="107"/>
      <c r="E25" s="107"/>
      <c r="F25" s="107"/>
    </row>
    <row r="26" spans="1:12" ht="15" x14ac:dyDescent="0.15">
      <c r="A26" s="92" t="s">
        <v>122</v>
      </c>
      <c r="B26" s="107">
        <v>100000</v>
      </c>
      <c r="C26" s="107">
        <f>B34</f>
        <v>90000</v>
      </c>
      <c r="D26" s="107">
        <f t="shared" ref="D26:F26" si="6">C34</f>
        <v>76500</v>
      </c>
      <c r="E26" s="107">
        <f t="shared" si="6"/>
        <v>65025</v>
      </c>
      <c r="F26" s="107">
        <f t="shared" si="6"/>
        <v>55271.25</v>
      </c>
    </row>
    <row r="27" spans="1:12" ht="15" x14ac:dyDescent="0.15">
      <c r="A27" s="92" t="s">
        <v>123</v>
      </c>
      <c r="B27" s="107">
        <f>B26</f>
        <v>100000</v>
      </c>
      <c r="C27" s="107">
        <f t="shared" ref="C27:F27" si="7">B35</f>
        <v>90000</v>
      </c>
      <c r="D27" s="107">
        <f t="shared" si="7"/>
        <v>76500</v>
      </c>
      <c r="E27" s="107">
        <f t="shared" si="7"/>
        <v>65025</v>
      </c>
      <c r="F27" s="107">
        <f t="shared" si="7"/>
        <v>55271.25</v>
      </c>
    </row>
    <row r="28" spans="1:12" ht="15" x14ac:dyDescent="0.15">
      <c r="A28" s="92" t="s">
        <v>128</v>
      </c>
      <c r="B28" s="107">
        <f>B27*0.6</f>
        <v>60000</v>
      </c>
      <c r="C28" s="107">
        <f t="shared" ref="C28:F28" si="8">B36</f>
        <v>54000</v>
      </c>
      <c r="D28" s="107">
        <f t="shared" si="8"/>
        <v>45900</v>
      </c>
      <c r="E28" s="107">
        <f t="shared" si="8"/>
        <v>39015</v>
      </c>
      <c r="F28" s="107">
        <f t="shared" si="8"/>
        <v>33162.75</v>
      </c>
    </row>
    <row r="29" spans="1:12" x14ac:dyDescent="0.15">
      <c r="A29" s="106" t="s">
        <v>45</v>
      </c>
      <c r="B29" s="107"/>
      <c r="C29" s="107"/>
      <c r="D29" s="107"/>
      <c r="E29" s="107"/>
      <c r="F29" s="107"/>
    </row>
    <row r="30" spans="1:12" ht="15" x14ac:dyDescent="0.15">
      <c r="A30" s="92" t="s">
        <v>122</v>
      </c>
      <c r="B30" s="107">
        <f>B26*0.1</f>
        <v>10000</v>
      </c>
      <c r="C30" s="107">
        <f t="shared" ref="C30:F30" si="9">C26*0.15</f>
        <v>13500</v>
      </c>
      <c r="D30" s="107">
        <f t="shared" si="9"/>
        <v>11475</v>
      </c>
      <c r="E30" s="107">
        <f t="shared" si="9"/>
        <v>9753.75</v>
      </c>
      <c r="F30" s="107">
        <f t="shared" si="9"/>
        <v>8290.6875</v>
      </c>
    </row>
    <row r="31" spans="1:12" ht="15" x14ac:dyDescent="0.15">
      <c r="A31" s="92" t="s">
        <v>123</v>
      </c>
      <c r="B31" s="107">
        <f t="shared" ref="B31:B32" si="10">B27*0.1</f>
        <v>10000</v>
      </c>
      <c r="C31" s="107">
        <f t="shared" ref="C31:F31" si="11">C27*0.15</f>
        <v>13500</v>
      </c>
      <c r="D31" s="107">
        <f t="shared" si="11"/>
        <v>11475</v>
      </c>
      <c r="E31" s="107">
        <f t="shared" si="11"/>
        <v>9753.75</v>
      </c>
      <c r="F31" s="107">
        <f t="shared" si="11"/>
        <v>8290.6875</v>
      </c>
    </row>
    <row r="32" spans="1:12" ht="15" x14ac:dyDescent="0.15">
      <c r="A32" s="92" t="s">
        <v>128</v>
      </c>
      <c r="B32" s="107">
        <f t="shared" si="10"/>
        <v>6000</v>
      </c>
      <c r="C32" s="107">
        <f t="shared" ref="C32:F32" si="12">C28*0.15</f>
        <v>8100</v>
      </c>
      <c r="D32" s="107">
        <f t="shared" si="12"/>
        <v>6885</v>
      </c>
      <c r="E32" s="107">
        <f t="shared" si="12"/>
        <v>5852.25</v>
      </c>
      <c r="F32" s="107">
        <f t="shared" si="12"/>
        <v>4974.4124999999995</v>
      </c>
    </row>
    <row r="33" spans="1:6" x14ac:dyDescent="0.15">
      <c r="A33" s="106" t="s">
        <v>46</v>
      </c>
      <c r="B33" s="107"/>
      <c r="C33" s="107"/>
      <c r="D33" s="107"/>
      <c r="E33" s="107"/>
      <c r="F33" s="107"/>
    </row>
    <row r="34" spans="1:6" ht="15" x14ac:dyDescent="0.15">
      <c r="A34" s="92" t="s">
        <v>122</v>
      </c>
      <c r="B34" s="107">
        <f>B26-B30</f>
        <v>90000</v>
      </c>
      <c r="C34" s="107">
        <f t="shared" ref="C34:F34" si="13">C26-C30</f>
        <v>76500</v>
      </c>
      <c r="D34" s="107">
        <f t="shared" si="13"/>
        <v>65025</v>
      </c>
      <c r="E34" s="107">
        <f t="shared" si="13"/>
        <v>55271.25</v>
      </c>
      <c r="F34" s="107">
        <f t="shared" si="13"/>
        <v>46980.5625</v>
      </c>
    </row>
    <row r="35" spans="1:6" ht="15" x14ac:dyDescent="0.15">
      <c r="A35" s="92" t="s">
        <v>123</v>
      </c>
      <c r="B35" s="107">
        <f t="shared" ref="B35:F36" si="14">B27-B31</f>
        <v>90000</v>
      </c>
      <c r="C35" s="107">
        <f t="shared" si="14"/>
        <v>76500</v>
      </c>
      <c r="D35" s="107">
        <f t="shared" si="14"/>
        <v>65025</v>
      </c>
      <c r="E35" s="107">
        <f t="shared" si="14"/>
        <v>55271.25</v>
      </c>
      <c r="F35" s="107">
        <f t="shared" si="14"/>
        <v>46980.5625</v>
      </c>
    </row>
    <row r="36" spans="1:6" ht="15" x14ac:dyDescent="0.15">
      <c r="A36" s="92" t="s">
        <v>128</v>
      </c>
      <c r="B36" s="107">
        <f t="shared" si="14"/>
        <v>54000</v>
      </c>
      <c r="C36" s="107">
        <f t="shared" si="14"/>
        <v>45900</v>
      </c>
      <c r="D36" s="107">
        <f t="shared" si="14"/>
        <v>39015</v>
      </c>
      <c r="E36" s="107">
        <f t="shared" si="14"/>
        <v>33162.75</v>
      </c>
      <c r="F36" s="107">
        <f t="shared" si="14"/>
        <v>28188.337500000001</v>
      </c>
    </row>
    <row r="37" spans="1:6" x14ac:dyDescent="0.15">
      <c r="A37" s="5"/>
      <c r="B37" s="107"/>
      <c r="C37" s="107"/>
      <c r="D37" s="107"/>
      <c r="E37" s="107"/>
      <c r="F37" s="107"/>
    </row>
    <row r="38" spans="1:6" x14ac:dyDescent="0.15">
      <c r="A38" s="106" t="s">
        <v>139</v>
      </c>
      <c r="B38" s="107">
        <v>2000000</v>
      </c>
      <c r="C38" s="107">
        <f>B40</f>
        <v>1700000</v>
      </c>
      <c r="D38" s="107">
        <f t="shared" ref="D38:F38" si="15">C40</f>
        <v>1445000</v>
      </c>
      <c r="E38" s="107">
        <f t="shared" si="15"/>
        <v>1228250</v>
      </c>
      <c r="F38" s="107">
        <f t="shared" si="15"/>
        <v>1044012.5</v>
      </c>
    </row>
    <row r="39" spans="1:6" x14ac:dyDescent="0.15">
      <c r="A39" s="106" t="s">
        <v>137</v>
      </c>
      <c r="B39" s="107">
        <f>B38*0.15</f>
        <v>300000</v>
      </c>
      <c r="C39" s="107">
        <f t="shared" ref="C39:F39" si="16">C38*0.15</f>
        <v>255000</v>
      </c>
      <c r="D39" s="107">
        <f t="shared" si="16"/>
        <v>216750</v>
      </c>
      <c r="E39" s="107">
        <f t="shared" si="16"/>
        <v>184237.5</v>
      </c>
      <c r="F39" s="107">
        <f t="shared" si="16"/>
        <v>156601.875</v>
      </c>
    </row>
    <row r="40" spans="1:6" x14ac:dyDescent="0.15">
      <c r="A40" s="106" t="s">
        <v>46</v>
      </c>
      <c r="B40" s="107">
        <f>B38-B39</f>
        <v>1700000</v>
      </c>
      <c r="C40" s="107">
        <f t="shared" ref="C40:F40" si="17">C38-C39</f>
        <v>1445000</v>
      </c>
      <c r="D40" s="107">
        <f t="shared" si="17"/>
        <v>1228250</v>
      </c>
      <c r="E40" s="107">
        <f t="shared" si="17"/>
        <v>1044012.5</v>
      </c>
      <c r="F40" s="107">
        <f t="shared" si="17"/>
        <v>887410.625</v>
      </c>
    </row>
    <row r="41" spans="1:6" x14ac:dyDescent="0.15">
      <c r="A41" s="5"/>
      <c r="B41" s="107"/>
      <c r="C41" s="107"/>
      <c r="D41" s="107"/>
      <c r="E41" s="107"/>
      <c r="F41" s="107"/>
    </row>
    <row r="42" spans="1:6" x14ac:dyDescent="0.15">
      <c r="A42" s="106" t="s">
        <v>174</v>
      </c>
      <c r="B42" s="107">
        <f>'PROJECT AT GLANCE'!E23</f>
        <v>600000</v>
      </c>
      <c r="C42" s="107">
        <f>B44</f>
        <v>450000</v>
      </c>
      <c r="D42" s="107">
        <f t="shared" ref="D42:F42" si="18">C44</f>
        <v>337500</v>
      </c>
      <c r="E42" s="107">
        <f t="shared" si="18"/>
        <v>253125</v>
      </c>
      <c r="F42" s="107">
        <f t="shared" si="18"/>
        <v>189843.75</v>
      </c>
    </row>
    <row r="43" spans="1:6" x14ac:dyDescent="0.15">
      <c r="A43" s="106" t="s">
        <v>175</v>
      </c>
      <c r="B43" s="107">
        <f>B42*0.25</f>
        <v>150000</v>
      </c>
      <c r="C43" s="107">
        <f t="shared" ref="C43:F43" si="19">C42*0.25</f>
        <v>112500</v>
      </c>
      <c r="D43" s="107">
        <f t="shared" si="19"/>
        <v>84375</v>
      </c>
      <c r="E43" s="107">
        <f t="shared" si="19"/>
        <v>63281.25</v>
      </c>
      <c r="F43" s="107">
        <f t="shared" si="19"/>
        <v>47460.9375</v>
      </c>
    </row>
    <row r="44" spans="1:6" x14ac:dyDescent="0.15">
      <c r="A44" s="106" t="s">
        <v>46</v>
      </c>
      <c r="B44" s="107">
        <f>B42-B43</f>
        <v>450000</v>
      </c>
      <c r="C44" s="107">
        <f t="shared" ref="C44:F44" si="20">C42-C43</f>
        <v>337500</v>
      </c>
      <c r="D44" s="107">
        <f t="shared" si="20"/>
        <v>253125</v>
      </c>
      <c r="E44" s="107">
        <f t="shared" si="20"/>
        <v>189843.75</v>
      </c>
      <c r="F44" s="107">
        <f t="shared" si="20"/>
        <v>142382.8125</v>
      </c>
    </row>
    <row r="45" spans="1:6" x14ac:dyDescent="0.15">
      <c r="A45" s="5"/>
      <c r="B45" s="107"/>
      <c r="C45" s="107"/>
      <c r="D45" s="107"/>
      <c r="E45" s="107"/>
      <c r="F45" s="107"/>
    </row>
    <row r="46" spans="1:6" x14ac:dyDescent="0.15">
      <c r="A46" s="106" t="s">
        <v>47</v>
      </c>
      <c r="B46" s="109">
        <f>B39+B32+B31+B30+B19+B18+B17+B43</f>
        <v>543500</v>
      </c>
      <c r="C46" s="109">
        <f t="shared" ref="C46:F46" si="21">C39+C32+C31+C30+C19+C18+C17+C43</f>
        <v>459975</v>
      </c>
      <c r="D46" s="109">
        <f t="shared" si="21"/>
        <v>379728.75</v>
      </c>
      <c r="E46" s="109">
        <f t="shared" si="21"/>
        <v>314331.9375</v>
      </c>
      <c r="F46" s="109">
        <f t="shared" si="21"/>
        <v>260854.02187500001</v>
      </c>
    </row>
    <row r="47" spans="1:6" x14ac:dyDescent="0.15">
      <c r="A47" s="105" t="s">
        <v>176</v>
      </c>
      <c r="B47" s="109"/>
      <c r="C47" s="109"/>
      <c r="D47" s="109"/>
      <c r="E47" s="109"/>
      <c r="F47" s="109"/>
    </row>
    <row r="48" spans="1:6" x14ac:dyDescent="0.15">
      <c r="A48" s="5"/>
      <c r="B48" s="109"/>
      <c r="C48" s="109"/>
      <c r="D48" s="109"/>
      <c r="E48" s="109"/>
      <c r="F48" s="109"/>
    </row>
    <row r="49" spans="1:6" x14ac:dyDescent="0.15">
      <c r="A49" s="106" t="s">
        <v>140</v>
      </c>
      <c r="B49" s="109">
        <f>B38+B28+B27+B26+B15+B14+B13+B42</f>
        <v>3310000</v>
      </c>
      <c r="C49" s="109">
        <f t="shared" ref="C49:F49" si="22">C38+C28+C27+C26+C15+C14+C13+C42</f>
        <v>2766500</v>
      </c>
      <c r="D49" s="109">
        <f t="shared" si="22"/>
        <v>2306525</v>
      </c>
      <c r="E49" s="109">
        <f t="shared" si="22"/>
        <v>1926796.25</v>
      </c>
      <c r="F49" s="109">
        <f t="shared" si="22"/>
        <v>1612464.3125</v>
      </c>
    </row>
    <row r="50" spans="1:6" x14ac:dyDescent="0.15">
      <c r="A50" s="105" t="s">
        <v>176</v>
      </c>
      <c r="B50" s="107"/>
      <c r="C50" s="50"/>
      <c r="D50" s="50"/>
      <c r="E50" s="107"/>
      <c r="F50" s="107"/>
    </row>
    <row r="51" spans="1:6" x14ac:dyDescent="0.15">
      <c r="A51" s="5"/>
      <c r="B51" s="107"/>
      <c r="C51" s="50"/>
      <c r="D51" s="50"/>
      <c r="E51" s="107"/>
      <c r="F51" s="107"/>
    </row>
    <row r="52" spans="1:6" ht="15" thickBot="1" x14ac:dyDescent="0.2">
      <c r="A52" s="110"/>
      <c r="B52" s="111"/>
      <c r="C52" s="112"/>
      <c r="D52" s="112"/>
      <c r="E52" s="111"/>
      <c r="F52" s="111"/>
    </row>
  </sheetData>
  <mergeCells count="5">
    <mergeCell ref="A1:D1"/>
    <mergeCell ref="A2:D2"/>
    <mergeCell ref="A4:D4"/>
    <mergeCell ref="B10:F10"/>
    <mergeCell ref="A10:A11"/>
  </mergeCells>
  <printOptions horizontalCentered="1"/>
  <pageMargins left="0.81" right="0.97" top="0.59" bottom="3" header="0.5" footer="0.5"/>
  <pageSetup scale="75" orientation="portrait" verticalDpi="144" r:id="rId1"/>
  <headerFooter alignWithMargins="0"/>
  <colBreaks count="1" manualBreakCount="1">
    <brk id="7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28"/>
  <sheetViews>
    <sheetView workbookViewId="0">
      <selection activeCell="C30" sqref="C30"/>
    </sheetView>
  </sheetViews>
  <sheetFormatPr baseColWidth="10" defaultColWidth="9.1640625" defaultRowHeight="14" x14ac:dyDescent="0.15"/>
  <cols>
    <col min="1" max="1" width="41.5" style="36" customWidth="1"/>
    <col min="2" max="2" width="15.5" style="36" customWidth="1"/>
    <col min="3" max="3" width="20.6640625" style="36" customWidth="1"/>
    <col min="4" max="4" width="19" style="36" customWidth="1"/>
    <col min="5" max="7" width="17.83203125" style="36" bestFit="1" customWidth="1"/>
    <col min="8" max="10" width="9.1640625" style="36"/>
    <col min="11" max="11" width="10.5" style="36" customWidth="1"/>
    <col min="12" max="16384" width="9.1640625" style="36"/>
  </cols>
  <sheetData>
    <row r="1" spans="1:7" x14ac:dyDescent="0.15">
      <c r="A1" s="37" t="str">
        <f>B.sheet!A1</f>
        <v>TRESBIZZ</v>
      </c>
      <c r="B1" s="37"/>
    </row>
    <row r="2" spans="1:7" x14ac:dyDescent="0.15">
      <c r="A2" s="119" t="s">
        <v>62</v>
      </c>
      <c r="B2" s="37"/>
    </row>
    <row r="3" spans="1:7" x14ac:dyDescent="0.15">
      <c r="A3" s="37"/>
      <c r="B3" s="37"/>
    </row>
    <row r="4" spans="1:7" x14ac:dyDescent="0.15">
      <c r="A4" s="119" t="s">
        <v>150</v>
      </c>
      <c r="B4" s="119"/>
    </row>
    <row r="5" spans="1:7" x14ac:dyDescent="0.15">
      <c r="A5" s="40" t="s">
        <v>48</v>
      </c>
      <c r="B5" s="40"/>
      <c r="C5" s="15"/>
      <c r="G5" s="4" t="s">
        <v>129</v>
      </c>
    </row>
    <row r="6" spans="1:7" x14ac:dyDescent="0.15">
      <c r="A6" s="177" t="s">
        <v>39</v>
      </c>
      <c r="B6" s="99"/>
      <c r="C6" s="179" t="s">
        <v>49</v>
      </c>
      <c r="D6" s="179"/>
      <c r="E6" s="179"/>
      <c r="F6" s="179"/>
      <c r="G6" s="179"/>
    </row>
    <row r="7" spans="1:7" s="35" customFormat="1" x14ac:dyDescent="0.15">
      <c r="A7" s="178"/>
      <c r="B7" s="100">
        <v>0</v>
      </c>
      <c r="C7" s="48">
        <v>1</v>
      </c>
      <c r="D7" s="42">
        <v>2</v>
      </c>
      <c r="E7" s="49">
        <v>3</v>
      </c>
      <c r="F7" s="42">
        <v>4</v>
      </c>
      <c r="G7" s="90">
        <v>5</v>
      </c>
    </row>
    <row r="8" spans="1:7" x14ac:dyDescent="0.15">
      <c r="A8" s="43" t="s">
        <v>50</v>
      </c>
      <c r="B8" s="44"/>
      <c r="C8" s="28"/>
      <c r="D8" s="23"/>
      <c r="E8" s="15"/>
      <c r="F8" s="23"/>
      <c r="G8" s="22"/>
    </row>
    <row r="9" spans="1:7" x14ac:dyDescent="0.15">
      <c r="A9" s="23" t="s">
        <v>51</v>
      </c>
      <c r="B9" s="122">
        <v>0</v>
      </c>
      <c r="C9" s="122">
        <f>profit!B53</f>
        <v>1257375</v>
      </c>
      <c r="D9" s="122">
        <f>+profit!C53</f>
        <v>17354812.5</v>
      </c>
      <c r="E9" s="122">
        <f>+profit!D53</f>
        <v>62943515.625</v>
      </c>
      <c r="F9" s="122">
        <f>+profit!E53</f>
        <v>238054394.53125</v>
      </c>
      <c r="G9" s="107">
        <f>+profit!F53</f>
        <v>592880493.1640625</v>
      </c>
    </row>
    <row r="10" spans="1:7" x14ac:dyDescent="0.15">
      <c r="A10" s="23" t="s">
        <v>52</v>
      </c>
      <c r="B10" s="122">
        <v>0</v>
      </c>
      <c r="C10" s="122">
        <f>Depr.!B46</f>
        <v>543500</v>
      </c>
      <c r="D10" s="122">
        <f>Depr.!C46</f>
        <v>459975</v>
      </c>
      <c r="E10" s="122">
        <f>Depr.!D46</f>
        <v>379728.75</v>
      </c>
      <c r="F10" s="122">
        <f>Depr.!E46</f>
        <v>314331.9375</v>
      </c>
      <c r="G10" s="107">
        <f>Depr.!F46</f>
        <v>260854.02187500001</v>
      </c>
    </row>
    <row r="11" spans="1:7" x14ac:dyDescent="0.15">
      <c r="A11" s="23" t="s">
        <v>159</v>
      </c>
      <c r="B11" s="122">
        <f>'PROJECT AT GLANCE'!E31+100000</f>
        <v>14600000</v>
      </c>
      <c r="C11" s="122">
        <v>0</v>
      </c>
      <c r="D11" s="122">
        <v>0</v>
      </c>
      <c r="E11" s="122" t="s">
        <v>53</v>
      </c>
      <c r="F11" s="122" t="s">
        <v>53</v>
      </c>
      <c r="G11" s="107"/>
    </row>
    <row r="12" spans="1:7" x14ac:dyDescent="0.15">
      <c r="A12" s="28" t="s">
        <v>54</v>
      </c>
      <c r="B12" s="122">
        <f t="shared" ref="B12:G12" si="0">SUM(B9:B11)</f>
        <v>14600000</v>
      </c>
      <c r="C12" s="122">
        <f t="shared" si="0"/>
        <v>1800875</v>
      </c>
      <c r="D12" s="122">
        <f t="shared" si="0"/>
        <v>17814787.5</v>
      </c>
      <c r="E12" s="122">
        <f t="shared" si="0"/>
        <v>63323244.375</v>
      </c>
      <c r="F12" s="122">
        <f t="shared" si="0"/>
        <v>238368726.46875</v>
      </c>
      <c r="G12" s="107">
        <f t="shared" si="0"/>
        <v>593141347.18593752</v>
      </c>
    </row>
    <row r="13" spans="1:7" x14ac:dyDescent="0.15">
      <c r="A13" s="23"/>
      <c r="B13" s="122"/>
      <c r="C13" s="122"/>
      <c r="D13" s="122"/>
      <c r="E13" s="122"/>
      <c r="F13" s="122"/>
      <c r="G13" s="107"/>
    </row>
    <row r="14" spans="1:7" x14ac:dyDescent="0.15">
      <c r="A14" s="43" t="s">
        <v>55</v>
      </c>
      <c r="B14" s="122"/>
      <c r="C14" s="122"/>
      <c r="D14" s="122"/>
      <c r="E14" s="122"/>
      <c r="F14" s="122"/>
      <c r="G14" s="107"/>
    </row>
    <row r="15" spans="1:7" x14ac:dyDescent="0.15">
      <c r="A15" s="121" t="str">
        <f>Depr.!A12</f>
        <v>1. Computer &amp; Equipments:-</v>
      </c>
      <c r="B15" s="122">
        <v>450000</v>
      </c>
      <c r="C15" s="126">
        <v>0</v>
      </c>
      <c r="D15" s="126">
        <v>0</v>
      </c>
      <c r="E15" s="126">
        <v>0</v>
      </c>
      <c r="F15" s="126">
        <v>0</v>
      </c>
      <c r="G15" s="118">
        <v>0</v>
      </c>
    </row>
    <row r="16" spans="1:7" x14ac:dyDescent="0.15">
      <c r="A16" s="23" t="str">
        <f>Depr.!A25</f>
        <v>2. Furniture &amp;Fittings</v>
      </c>
      <c r="B16" s="122">
        <v>260000</v>
      </c>
      <c r="C16" s="126">
        <v>0</v>
      </c>
      <c r="D16" s="126">
        <v>0</v>
      </c>
      <c r="E16" s="126">
        <v>0</v>
      </c>
      <c r="F16" s="126">
        <v>0</v>
      </c>
      <c r="G16" s="118">
        <v>0</v>
      </c>
    </row>
    <row r="17" spans="1:7" x14ac:dyDescent="0.15">
      <c r="A17" s="23" t="str">
        <f>Depr.!A38</f>
        <v>3.Hardware Testing Equipments</v>
      </c>
      <c r="B17" s="122">
        <v>2000000</v>
      </c>
      <c r="C17" s="122">
        <v>0</v>
      </c>
      <c r="D17" s="122">
        <v>0</v>
      </c>
      <c r="E17" s="122">
        <v>0</v>
      </c>
      <c r="F17" s="122">
        <v>0</v>
      </c>
      <c r="G17" s="107">
        <v>0</v>
      </c>
    </row>
    <row r="18" spans="1:7" x14ac:dyDescent="0.15">
      <c r="A18" s="125" t="s">
        <v>177</v>
      </c>
      <c r="B18" s="122">
        <f>Depr.!B42</f>
        <v>600000</v>
      </c>
      <c r="C18" s="122">
        <v>0</v>
      </c>
      <c r="D18" s="122">
        <v>0</v>
      </c>
      <c r="E18" s="122">
        <v>0</v>
      </c>
      <c r="F18" s="122">
        <v>0</v>
      </c>
      <c r="G18" s="107">
        <v>0</v>
      </c>
    </row>
    <row r="19" spans="1:7" x14ac:dyDescent="0.15">
      <c r="A19" s="23" t="s">
        <v>56</v>
      </c>
      <c r="B19" s="122">
        <f>SUM(B15:B18)</f>
        <v>3310000</v>
      </c>
      <c r="C19" s="122">
        <f t="shared" ref="C19" si="1">SUM(C15:C18)</f>
        <v>0</v>
      </c>
      <c r="D19" s="122">
        <f t="shared" ref="D19" si="2">SUM(D15:D18)</f>
        <v>0</v>
      </c>
      <c r="E19" s="122">
        <f t="shared" ref="E19" si="3">SUM(E15:E18)</f>
        <v>0</v>
      </c>
      <c r="F19" s="122">
        <f t="shared" ref="F19" si="4">SUM(F15:F18)</f>
        <v>0</v>
      </c>
      <c r="G19" s="107">
        <f t="shared" ref="G19" si="5">SUM(G15:G18)</f>
        <v>0</v>
      </c>
    </row>
    <row r="20" spans="1:7" x14ac:dyDescent="0.15">
      <c r="A20" s="23"/>
      <c r="B20" s="122"/>
      <c r="C20" s="122"/>
      <c r="D20" s="122"/>
      <c r="E20" s="122"/>
      <c r="F20" s="122"/>
      <c r="G20" s="107"/>
    </row>
    <row r="21" spans="1:7" x14ac:dyDescent="0.15">
      <c r="A21" s="23" t="s">
        <v>57</v>
      </c>
      <c r="B21" s="122"/>
      <c r="C21" s="122"/>
      <c r="D21" s="122"/>
      <c r="E21" s="122"/>
      <c r="F21" s="122"/>
      <c r="G21" s="107"/>
    </row>
    <row r="22" spans="1:7" x14ac:dyDescent="0.15">
      <c r="A22" s="23" t="s">
        <v>58</v>
      </c>
      <c r="B22" s="122">
        <v>0</v>
      </c>
      <c r="C22" s="122">
        <f>B26</f>
        <v>11290000</v>
      </c>
      <c r="D22" s="122">
        <f t="shared" ref="D22:G22" si="6">C26</f>
        <v>13090875</v>
      </c>
      <c r="E22" s="122">
        <f t="shared" si="6"/>
        <v>30905662.5</v>
      </c>
      <c r="F22" s="122">
        <f t="shared" si="6"/>
        <v>94228906.875</v>
      </c>
      <c r="G22" s="107">
        <f t="shared" si="6"/>
        <v>332597633.34375</v>
      </c>
    </row>
    <row r="23" spans="1:7" x14ac:dyDescent="0.15">
      <c r="A23" s="23"/>
      <c r="B23" s="122"/>
      <c r="C23" s="122"/>
      <c r="D23" s="122"/>
      <c r="E23" s="122" t="s">
        <v>59</v>
      </c>
      <c r="F23" s="122"/>
      <c r="G23" s="107"/>
    </row>
    <row r="24" spans="1:7" x14ac:dyDescent="0.15">
      <c r="A24" s="23" t="s">
        <v>60</v>
      </c>
      <c r="B24" s="122">
        <f>B12-B19</f>
        <v>11290000</v>
      </c>
      <c r="C24" s="122">
        <f>C12-C19</f>
        <v>1800875</v>
      </c>
      <c r="D24" s="122">
        <f t="shared" ref="D24:G24" si="7">D12-D19</f>
        <v>17814787.5</v>
      </c>
      <c r="E24" s="122">
        <f t="shared" si="7"/>
        <v>63323244.375</v>
      </c>
      <c r="F24" s="122">
        <f t="shared" si="7"/>
        <v>238368726.46875</v>
      </c>
      <c r="G24" s="107">
        <f t="shared" si="7"/>
        <v>593141347.18593752</v>
      </c>
    </row>
    <row r="25" spans="1:7" x14ac:dyDescent="0.15">
      <c r="A25" s="23"/>
      <c r="B25" s="122"/>
      <c r="C25" s="122"/>
      <c r="D25" s="122"/>
      <c r="E25" s="122"/>
      <c r="F25" s="122"/>
      <c r="G25" s="107"/>
    </row>
    <row r="26" spans="1:7" x14ac:dyDescent="0.15">
      <c r="A26" s="23" t="s">
        <v>61</v>
      </c>
      <c r="B26" s="122">
        <f>B22+B24</f>
        <v>11290000</v>
      </c>
      <c r="C26" s="122">
        <f>C22+C24</f>
        <v>13090875</v>
      </c>
      <c r="D26" s="122">
        <f t="shared" ref="D26:G26" si="8">D22+D24</f>
        <v>30905662.5</v>
      </c>
      <c r="E26" s="122">
        <f t="shared" si="8"/>
        <v>94228906.875</v>
      </c>
      <c r="F26" s="122">
        <f t="shared" si="8"/>
        <v>332597633.34375</v>
      </c>
      <c r="G26" s="148">
        <f t="shared" si="8"/>
        <v>925738980.52968752</v>
      </c>
    </row>
    <row r="27" spans="1:7" x14ac:dyDescent="0.15">
      <c r="A27" s="25"/>
      <c r="B27" s="25"/>
      <c r="C27" s="108"/>
      <c r="D27" s="108"/>
      <c r="E27" s="108"/>
      <c r="F27" s="108"/>
      <c r="G27" s="108"/>
    </row>
    <row r="28" spans="1:7" x14ac:dyDescent="0.15">
      <c r="C28" s="122"/>
      <c r="D28" s="122"/>
      <c r="E28" s="122"/>
      <c r="F28" s="122"/>
      <c r="G28" s="122"/>
    </row>
  </sheetData>
  <mergeCells count="2">
    <mergeCell ref="A6:A7"/>
    <mergeCell ref="C6:G6"/>
  </mergeCells>
  <printOptions horizontalCentered="1" verticalCentered="1"/>
  <pageMargins left="0.56999999999999995" right="0.25" top="0.51" bottom="4.2" header="0.36" footer="0.5"/>
  <pageSetup scale="66" orientation="portrait" verticalDpi="144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N49"/>
  <sheetViews>
    <sheetView workbookViewId="0">
      <selection activeCell="B23" sqref="B23"/>
    </sheetView>
  </sheetViews>
  <sheetFormatPr baseColWidth="10" defaultColWidth="9.1640625" defaultRowHeight="14" x14ac:dyDescent="0.15"/>
  <cols>
    <col min="1" max="1" width="33.6640625" style="36" customWidth="1"/>
    <col min="2" max="2" width="16.1640625" style="36" customWidth="1"/>
    <col min="3" max="3" width="17.83203125" style="36" customWidth="1"/>
    <col min="4" max="4" width="17.5" style="36" customWidth="1"/>
    <col min="5" max="5" width="19.33203125" style="36" bestFit="1" customWidth="1"/>
    <col min="6" max="7" width="17.33203125" style="36" customWidth="1"/>
    <col min="8" max="8" width="29.33203125" style="36" customWidth="1"/>
    <col min="9" max="9" width="15.33203125" style="36" customWidth="1"/>
    <col min="10" max="10" width="17.33203125" style="36" customWidth="1"/>
    <col min="11" max="11" width="16.33203125" style="36" customWidth="1"/>
    <col min="12" max="12" width="17.33203125" style="36" customWidth="1"/>
    <col min="13" max="13" width="16.1640625" style="36" customWidth="1"/>
    <col min="14" max="14" width="15.33203125" style="36" customWidth="1"/>
    <col min="15" max="16384" width="9.1640625" style="36"/>
  </cols>
  <sheetData>
    <row r="1" spans="1:9" x14ac:dyDescent="0.15">
      <c r="A1" s="37" t="str">
        <f>Depr.!A1</f>
        <v>TRESBIZZ</v>
      </c>
      <c r="B1" s="37"/>
    </row>
    <row r="2" spans="1:9" x14ac:dyDescent="0.15">
      <c r="A2" s="147" t="s">
        <v>186</v>
      </c>
      <c r="B2" s="38"/>
      <c r="C2" s="37"/>
    </row>
    <row r="3" spans="1:9" x14ac:dyDescent="0.15">
      <c r="A3" s="38"/>
      <c r="B3" s="38"/>
      <c r="C3" s="37"/>
    </row>
    <row r="4" spans="1:9" x14ac:dyDescent="0.15">
      <c r="A4" s="38" t="s">
        <v>11</v>
      </c>
      <c r="B4" s="38"/>
      <c r="C4" s="37"/>
    </row>
    <row r="5" spans="1:9" x14ac:dyDescent="0.15">
      <c r="A5" s="39"/>
      <c r="B5" s="39"/>
      <c r="C5" s="40"/>
      <c r="G5" s="4" t="s">
        <v>129</v>
      </c>
    </row>
    <row r="6" spans="1:9" x14ac:dyDescent="0.15">
      <c r="A6" s="181" t="s">
        <v>39</v>
      </c>
      <c r="B6" s="183" t="s">
        <v>49</v>
      </c>
      <c r="C6" s="184"/>
      <c r="D6" s="184"/>
      <c r="E6" s="184"/>
      <c r="F6" s="184"/>
      <c r="G6" s="184"/>
    </row>
    <row r="7" spans="1:9" s="35" customFormat="1" x14ac:dyDescent="0.15">
      <c r="A7" s="182"/>
      <c r="B7" s="100">
        <v>0</v>
      </c>
      <c r="C7" s="41">
        <v>1</v>
      </c>
      <c r="D7" s="42">
        <v>2</v>
      </c>
      <c r="E7" s="42">
        <v>3</v>
      </c>
      <c r="F7" s="42">
        <v>4</v>
      </c>
      <c r="G7" s="42">
        <v>5</v>
      </c>
      <c r="H7" s="36"/>
    </row>
    <row r="8" spans="1:9" x14ac:dyDescent="0.15">
      <c r="A8" s="28"/>
      <c r="B8" s="28"/>
      <c r="C8" s="28"/>
      <c r="D8" s="22"/>
      <c r="E8" s="15"/>
      <c r="F8" s="22"/>
      <c r="G8" s="22"/>
    </row>
    <row r="9" spans="1:9" x14ac:dyDescent="0.15">
      <c r="A9" s="123" t="s">
        <v>151</v>
      </c>
      <c r="B9" s="128"/>
      <c r="C9" s="44"/>
      <c r="D9" s="23"/>
      <c r="E9" s="15"/>
      <c r="F9" s="23"/>
      <c r="G9" s="23"/>
    </row>
    <row r="10" spans="1:9" x14ac:dyDescent="0.15">
      <c r="A10" s="123" t="s">
        <v>152</v>
      </c>
      <c r="B10" s="128"/>
      <c r="C10" s="44"/>
      <c r="D10" s="23"/>
      <c r="E10" s="15"/>
      <c r="F10" s="23"/>
      <c r="G10" s="23"/>
    </row>
    <row r="11" spans="1:9" s="124" customFormat="1" x14ac:dyDescent="0.15">
      <c r="A11" s="125" t="s">
        <v>153</v>
      </c>
      <c r="B11" s="126">
        <v>100000</v>
      </c>
      <c r="C11" s="126">
        <f>B11</f>
        <v>100000</v>
      </c>
      <c r="D11" s="126">
        <f>C11</f>
        <v>100000</v>
      </c>
      <c r="E11" s="126">
        <f>D11</f>
        <v>100000</v>
      </c>
      <c r="F11" s="126">
        <f>E11</f>
        <v>100000</v>
      </c>
      <c r="G11" s="118">
        <f>F11</f>
        <v>100000</v>
      </c>
    </row>
    <row r="12" spans="1:9" x14ac:dyDescent="0.15">
      <c r="A12" s="120" t="s">
        <v>154</v>
      </c>
      <c r="B12" s="126">
        <f>'PROJECT AT GLANCE'!E24</f>
        <v>14500000</v>
      </c>
      <c r="C12" s="126">
        <f>B12+profit!B53</f>
        <v>15757375</v>
      </c>
      <c r="D12" s="126">
        <f>C12+profit!C53</f>
        <v>33112187.5</v>
      </c>
      <c r="E12" s="126">
        <f>D12+profit!D53</f>
        <v>96055703.125</v>
      </c>
      <c r="F12" s="126">
        <f>E12+profit!E53</f>
        <v>334110097.65625</v>
      </c>
      <c r="G12" s="118">
        <f>F12+profit!F53</f>
        <v>926990590.8203125</v>
      </c>
      <c r="H12" s="24">
        <f>H33</f>
        <v>0</v>
      </c>
    </row>
    <row r="13" spans="1:9" x14ac:dyDescent="0.15">
      <c r="A13" s="23"/>
      <c r="B13" s="126"/>
      <c r="C13" s="126"/>
      <c r="D13" s="126"/>
      <c r="E13" s="126"/>
      <c r="F13" s="126"/>
      <c r="G13" s="118"/>
    </row>
    <row r="14" spans="1:9" x14ac:dyDescent="0.15">
      <c r="A14" s="123" t="s">
        <v>156</v>
      </c>
      <c r="B14" s="126" t="s">
        <v>157</v>
      </c>
      <c r="C14" s="126" t="s">
        <v>157</v>
      </c>
      <c r="D14" s="126" t="s">
        <v>157</v>
      </c>
      <c r="E14" s="126" t="s">
        <v>157</v>
      </c>
      <c r="F14" s="126" t="s">
        <v>157</v>
      </c>
      <c r="G14" s="118" t="s">
        <v>157</v>
      </c>
    </row>
    <row r="15" spans="1:9" x14ac:dyDescent="0.15">
      <c r="A15" s="127" t="s">
        <v>155</v>
      </c>
      <c r="B15" s="126" t="s">
        <v>157</v>
      </c>
      <c r="C15" s="126" t="s">
        <v>157</v>
      </c>
      <c r="D15" s="126" t="s">
        <v>157</v>
      </c>
      <c r="E15" s="126" t="s">
        <v>157</v>
      </c>
      <c r="F15" s="126" t="s">
        <v>157</v>
      </c>
      <c r="G15" s="118" t="s">
        <v>157</v>
      </c>
      <c r="H15" s="15"/>
    </row>
    <row r="16" spans="1:9" ht="15" thickBot="1" x14ac:dyDescent="0.2">
      <c r="A16" s="23"/>
      <c r="B16" s="126"/>
      <c r="C16" s="126"/>
      <c r="D16" s="126" t="s">
        <v>157</v>
      </c>
      <c r="E16" s="126" t="s">
        <v>157</v>
      </c>
      <c r="F16" s="126" t="s">
        <v>157</v>
      </c>
      <c r="G16" s="118" t="s">
        <v>157</v>
      </c>
      <c r="H16" s="15"/>
      <c r="I16" s="15"/>
    </row>
    <row r="17" spans="1:14" ht="15" thickBot="1" x14ac:dyDescent="0.2">
      <c r="A17" s="44" t="s">
        <v>63</v>
      </c>
      <c r="B17" s="150">
        <f>SUM(B10:B15)</f>
        <v>14600000</v>
      </c>
      <c r="C17" s="151">
        <f>SUM(C10:C15)</f>
        <v>15857375</v>
      </c>
      <c r="D17" s="151">
        <f t="shared" ref="D17:G17" si="0">SUM(D10:D15)</f>
        <v>33212187.5</v>
      </c>
      <c r="E17" s="151">
        <f t="shared" si="0"/>
        <v>96155703.125</v>
      </c>
      <c r="F17" s="151">
        <f t="shared" si="0"/>
        <v>334210097.65625</v>
      </c>
      <c r="G17" s="152">
        <f t="shared" si="0"/>
        <v>927090590.8203125</v>
      </c>
    </row>
    <row r="18" spans="1:14" x14ac:dyDescent="0.15">
      <c r="A18" s="28"/>
      <c r="B18" s="126"/>
      <c r="C18" s="126"/>
      <c r="D18" s="126"/>
      <c r="E18" s="126"/>
      <c r="F18" s="126"/>
      <c r="G18" s="118"/>
    </row>
    <row r="19" spans="1:14" x14ac:dyDescent="0.15">
      <c r="A19" s="28"/>
      <c r="B19" s="126"/>
      <c r="C19" s="126"/>
      <c r="D19" s="126"/>
      <c r="E19" s="126"/>
      <c r="F19" s="126"/>
      <c r="G19" s="118"/>
    </row>
    <row r="20" spans="1:14" x14ac:dyDescent="0.15">
      <c r="A20" s="44" t="s">
        <v>64</v>
      </c>
      <c r="B20" s="126"/>
      <c r="C20" s="126"/>
      <c r="D20" s="126"/>
      <c r="E20" s="126"/>
      <c r="F20" s="126"/>
      <c r="G20" s="118"/>
    </row>
    <row r="21" spans="1:14" x14ac:dyDescent="0.15">
      <c r="A21" s="128" t="s">
        <v>158</v>
      </c>
      <c r="B21" s="126">
        <f>'Fund flow'!B15+'Fund flow'!B16+'Fund flow'!B17+'Fund flow'!B18</f>
        <v>3310000</v>
      </c>
      <c r="C21" s="126">
        <f>Depr.!B21+Depr.!B22+Depr.!B23+Depr.!B34+Depr.!B35+Depr.!B36+Depr.!B40+Depr.!B44</f>
        <v>2766500</v>
      </c>
      <c r="D21" s="126">
        <f>Depr.!C21+Depr.!C22+Depr.!C23+Depr.!C34+Depr.!C35+Depr.!C36+Depr.!C40+Depr.!C44</f>
        <v>2306525</v>
      </c>
      <c r="E21" s="126">
        <f>Depr.!D21+Depr.!D22+Depr.!D23+Depr.!D34+Depr.!D35+Depr.!D36+Depr.!D40+Depr.!D44</f>
        <v>1926796.25</v>
      </c>
      <c r="F21" s="126">
        <f>Depr.!E21+Depr.!E22+Depr.!E23+Depr.!E34+Depr.!E35+Depr.!E36+Depr.!E40+Depr.!E44</f>
        <v>1612464.3125</v>
      </c>
      <c r="G21" s="118">
        <f>Depr.!F21+Depr.!F22+Depr.!F23+Depr.!F34+Depr.!F35+Depr.!F36+Depr.!F40+Depr.!F44</f>
        <v>1351610.2906249999</v>
      </c>
    </row>
    <row r="22" spans="1:14" x14ac:dyDescent="0.15">
      <c r="A22" s="46" t="s">
        <v>65</v>
      </c>
      <c r="B22" s="126"/>
      <c r="C22" s="126"/>
      <c r="D22" s="126"/>
      <c r="E22" s="126"/>
      <c r="F22" s="126"/>
      <c r="G22" s="118"/>
      <c r="H22" s="15"/>
      <c r="I22" s="15"/>
    </row>
    <row r="23" spans="1:14" ht="15" thickBot="1" x14ac:dyDescent="0.2">
      <c r="A23" s="28" t="s">
        <v>66</v>
      </c>
      <c r="B23" s="126">
        <f>100000+'PROJECT AT GLANCE'!E20+'PROJECT AT GLANCE'!E21+'PROJECT AT GLANCE'!E23</f>
        <v>10700000</v>
      </c>
      <c r="C23" s="126">
        <f>B23+'Fund flow'!C9+'Fund flow'!C10</f>
        <v>12500875</v>
      </c>
      <c r="D23" s="126">
        <f>C23+'Fund flow'!D9+'Fund flow'!D10</f>
        <v>30315662.5</v>
      </c>
      <c r="E23" s="126">
        <f>D23+'Fund flow'!E9+'Fund flow'!E10</f>
        <v>93638906.875</v>
      </c>
      <c r="F23" s="126">
        <f>E23+'Fund flow'!F9+'Fund flow'!F10</f>
        <v>332007633.34375</v>
      </c>
      <c r="G23" s="118">
        <f>F23+'Fund flow'!G9+'Fund flow'!G10</f>
        <v>925148980.52968752</v>
      </c>
    </row>
    <row r="24" spans="1:14" ht="15" thickBot="1" x14ac:dyDescent="0.2">
      <c r="A24" s="149" t="s">
        <v>67</v>
      </c>
      <c r="B24" s="150">
        <f t="shared" ref="B24:G24" si="1">SUM(B21:B23)</f>
        <v>14010000</v>
      </c>
      <c r="C24" s="151">
        <f t="shared" si="1"/>
        <v>15267375</v>
      </c>
      <c r="D24" s="151">
        <f t="shared" si="1"/>
        <v>32622187.5</v>
      </c>
      <c r="E24" s="151">
        <f t="shared" si="1"/>
        <v>95565703.125</v>
      </c>
      <c r="F24" s="151">
        <f t="shared" si="1"/>
        <v>333620097.65625</v>
      </c>
      <c r="G24" s="152">
        <f t="shared" si="1"/>
        <v>926500590.8203125</v>
      </c>
    </row>
    <row r="25" spans="1:14" x14ac:dyDescent="0.15">
      <c r="A25" s="129"/>
      <c r="B25" s="129"/>
      <c r="C25" s="130"/>
      <c r="D25" s="130"/>
      <c r="E25" s="130"/>
      <c r="F25" s="130"/>
      <c r="G25" s="130"/>
    </row>
    <row r="26" spans="1:14" x14ac:dyDescent="0.15">
      <c r="A26" s="129"/>
      <c r="B26" s="130">
        <f>B24-B17</f>
        <v>-590000</v>
      </c>
      <c r="C26" s="130">
        <f>C24-C17</f>
        <v>-590000</v>
      </c>
      <c r="D26" s="130">
        <f t="shared" ref="D26:G26" si="2">D24-D17</f>
        <v>-590000</v>
      </c>
      <c r="E26" s="130">
        <f t="shared" si="2"/>
        <v>-590000</v>
      </c>
      <c r="F26" s="130">
        <f t="shared" si="2"/>
        <v>-590000</v>
      </c>
      <c r="G26" s="130">
        <f t="shared" si="2"/>
        <v>-590000</v>
      </c>
    </row>
    <row r="27" spans="1:14" x14ac:dyDescent="0.15">
      <c r="A27" s="129"/>
      <c r="B27" s="129"/>
      <c r="C27" s="130"/>
      <c r="D27" s="130"/>
      <c r="E27" s="130"/>
      <c r="F27" s="130"/>
      <c r="G27" s="130"/>
    </row>
    <row r="29" spans="1:14" x14ac:dyDescent="0.15">
      <c r="C29" s="180"/>
      <c r="D29" s="180"/>
      <c r="E29" s="180"/>
      <c r="F29" s="180"/>
      <c r="G29" s="47"/>
    </row>
    <row r="30" spans="1:14" x14ac:dyDescent="0.15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</row>
    <row r="31" spans="1:14" x14ac:dyDescent="0.15">
      <c r="A31" s="25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</row>
    <row r="32" spans="1:14" x14ac:dyDescent="0.15">
      <c r="A32" s="25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</row>
    <row r="33" spans="1:14" x14ac:dyDescent="0.15">
      <c r="A33" s="25"/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</row>
    <row r="34" spans="1:14" x14ac:dyDescent="0.15">
      <c r="A34" s="25"/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</row>
    <row r="35" spans="1:14" x14ac:dyDescent="0.15">
      <c r="A35" s="25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</row>
    <row r="36" spans="1:14" x14ac:dyDescent="0.15">
      <c r="A36" s="25"/>
      <c r="B36" s="25"/>
      <c r="C36" s="45"/>
      <c r="D36" s="45"/>
      <c r="E36" s="45"/>
      <c r="F36" s="45"/>
      <c r="G36" s="45"/>
      <c r="H36" s="25"/>
      <c r="I36" s="45"/>
      <c r="J36" s="45"/>
      <c r="K36" s="45"/>
      <c r="L36" s="45"/>
      <c r="M36" s="45"/>
      <c r="N36" s="45"/>
    </row>
    <row r="38" spans="1:14" x14ac:dyDescent="0.15">
      <c r="C38" s="180"/>
      <c r="D38" s="180"/>
      <c r="E38" s="180"/>
      <c r="F38" s="180"/>
      <c r="G38" s="47"/>
    </row>
    <row r="39" spans="1:14" x14ac:dyDescent="0.15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</row>
    <row r="49" spans="3:14" x14ac:dyDescent="0.15">
      <c r="C49" s="37"/>
      <c r="D49" s="37"/>
      <c r="E49" s="37"/>
      <c r="F49" s="37"/>
      <c r="G49" s="37"/>
      <c r="I49" s="37"/>
      <c r="J49" s="37"/>
      <c r="K49" s="37"/>
      <c r="L49" s="37"/>
      <c r="M49" s="37"/>
      <c r="N49" s="37"/>
    </row>
  </sheetData>
  <mergeCells count="4">
    <mergeCell ref="C29:F29"/>
    <mergeCell ref="C38:F38"/>
    <mergeCell ref="A6:A7"/>
    <mergeCell ref="B6:G6"/>
  </mergeCells>
  <printOptions horizontalCentered="1"/>
  <pageMargins left="0.75" right="0.87" top="0.67" bottom="1.9" header="0.5" footer="0.5"/>
  <pageSetup scale="64" orientation="portrait" verticalDpi="144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5"/>
  <sheetViews>
    <sheetView workbookViewId="0">
      <selection activeCell="F7" sqref="F7"/>
    </sheetView>
  </sheetViews>
  <sheetFormatPr baseColWidth="10" defaultColWidth="9.1640625" defaultRowHeight="14" x14ac:dyDescent="0.15"/>
  <cols>
    <col min="1" max="1" width="38.6640625" style="1" customWidth="1"/>
    <col min="2" max="2" width="24.1640625" style="1" customWidth="1"/>
    <col min="3" max="3" width="18.6640625" style="1" customWidth="1"/>
    <col min="4" max="4" width="21.5" style="1" customWidth="1"/>
    <col min="5" max="5" width="18.1640625" style="1" customWidth="1"/>
    <col min="6" max="6" width="18.33203125" style="1" customWidth="1"/>
    <col min="7" max="16384" width="9.1640625" style="1"/>
  </cols>
  <sheetData>
    <row r="1" spans="1:6" x14ac:dyDescent="0.15">
      <c r="A1" s="2" t="str">
        <f>Depr.!A1</f>
        <v>TRESBIZZ</v>
      </c>
    </row>
    <row r="2" spans="1:6" x14ac:dyDescent="0.15">
      <c r="A2" s="2" t="s">
        <v>68</v>
      </c>
    </row>
    <row r="4" spans="1:6" x14ac:dyDescent="0.15">
      <c r="A4" s="2" t="s">
        <v>69</v>
      </c>
      <c r="F4" s="4" t="s">
        <v>129</v>
      </c>
    </row>
    <row r="5" spans="1:6" x14ac:dyDescent="0.15">
      <c r="A5" s="164" t="s">
        <v>48</v>
      </c>
      <c r="B5" s="173" t="s">
        <v>70</v>
      </c>
      <c r="C5" s="173"/>
      <c r="D5" s="173"/>
      <c r="E5" s="173"/>
      <c r="F5" s="173"/>
    </row>
    <row r="6" spans="1:6" x14ac:dyDescent="0.15">
      <c r="A6" s="165"/>
      <c r="B6" s="13">
        <v>1</v>
      </c>
      <c r="C6" s="19">
        <v>2</v>
      </c>
      <c r="D6" s="13">
        <v>3</v>
      </c>
      <c r="E6" s="19">
        <v>4</v>
      </c>
      <c r="F6" s="13">
        <v>5</v>
      </c>
    </row>
    <row r="7" spans="1:6" x14ac:dyDescent="0.15">
      <c r="A7" s="105" t="s">
        <v>161</v>
      </c>
      <c r="B7" s="131">
        <f>profit!B10</f>
        <v>4500000</v>
      </c>
      <c r="C7" s="131">
        <f>profit!C9</f>
        <v>10000000</v>
      </c>
      <c r="D7" s="131">
        <f>profit!D9</f>
        <v>25000000</v>
      </c>
      <c r="E7" s="131">
        <f>profit!E10</f>
        <v>325000000</v>
      </c>
      <c r="F7" s="132">
        <f>profit!F10</f>
        <v>800000000</v>
      </c>
    </row>
    <row r="8" spans="1:6" x14ac:dyDescent="0.15">
      <c r="A8" s="5"/>
      <c r="B8" s="131"/>
      <c r="C8" s="131"/>
      <c r="D8" s="131"/>
      <c r="E8" s="131"/>
      <c r="F8" s="134"/>
    </row>
    <row r="9" spans="1:6" x14ac:dyDescent="0.15">
      <c r="A9" s="105" t="s">
        <v>162</v>
      </c>
      <c r="B9" s="131">
        <f>EXPENSES!C37-EXPENSES!C17-EXPENSES!C18-EXPENSES!C19</f>
        <v>-88000</v>
      </c>
      <c r="C9" s="131">
        <f>EXPENSES!D37-EXPENSES!D17-EXPENSES!D18-EXPENSES!D19</f>
        <v>-132000</v>
      </c>
      <c r="D9" s="131">
        <f>EXPENSES!E37-EXPENSES!E17-EXPENSES!E18-EXPENSES!E19</f>
        <v>-165000</v>
      </c>
      <c r="E9" s="131">
        <f>EXPENSES!F37-EXPENSES!F17-EXPENSES!F18-EXPENSES!F19</f>
        <v>-206250</v>
      </c>
      <c r="F9" s="134">
        <f>EXPENSES!G37-EXPENSES!G17-EXPENSES!G18-EXPENSES!G19</f>
        <v>-257812.5</v>
      </c>
    </row>
    <row r="10" spans="1:6" x14ac:dyDescent="0.15">
      <c r="A10" s="5"/>
      <c r="B10" s="131">
        <f>profit!B23-EXPENSES!D16</f>
        <v>-112500</v>
      </c>
      <c r="C10" s="131">
        <f>profit!C23-EXPENSES!E16</f>
        <v>-140625</v>
      </c>
      <c r="D10" s="131">
        <f>profit!D23-EXPENSES!F16</f>
        <v>-175781.25</v>
      </c>
      <c r="E10" s="131">
        <f>profit!E23-EXPENSES!G16</f>
        <v>-219726.5625</v>
      </c>
      <c r="F10" s="134"/>
    </row>
    <row r="11" spans="1:6" x14ac:dyDescent="0.15">
      <c r="A11" s="5"/>
      <c r="B11" s="131"/>
      <c r="C11" s="131"/>
      <c r="D11" s="131"/>
      <c r="E11" s="131"/>
      <c r="F11" s="134"/>
    </row>
    <row r="12" spans="1:6" x14ac:dyDescent="0.15">
      <c r="A12" s="106" t="s">
        <v>163</v>
      </c>
      <c r="B12" s="131"/>
      <c r="C12" s="131"/>
      <c r="D12" s="131"/>
      <c r="E12" s="131"/>
      <c r="F12" s="134"/>
    </row>
    <row r="13" spans="1:6" x14ac:dyDescent="0.15">
      <c r="A13" s="5" t="s">
        <v>41</v>
      </c>
      <c r="B13" s="131">
        <f>EXPENSES!C39</f>
        <v>0</v>
      </c>
      <c r="C13" s="131">
        <f>EXPENSES!D39</f>
        <v>0</v>
      </c>
      <c r="D13" s="131">
        <f>EXPENSES!E39</f>
        <v>0</v>
      </c>
      <c r="E13" s="131">
        <f>EXPENSES!F39</f>
        <v>0</v>
      </c>
      <c r="F13" s="134">
        <f>EXPENSES!G39</f>
        <v>0</v>
      </c>
    </row>
    <row r="14" spans="1:6" x14ac:dyDescent="0.15">
      <c r="A14" s="105" t="s">
        <v>160</v>
      </c>
      <c r="B14" s="131">
        <f>EXPENSES!C17+EXPENSES!C18+EXPENSES!C19</f>
        <v>100000</v>
      </c>
      <c r="C14" s="131">
        <f>EXPENSES!D17+EXPENSES!D18+EXPENSES!D19</f>
        <v>150000</v>
      </c>
      <c r="D14" s="131">
        <f>EXPENSES!E17+EXPENSES!E18+EXPENSES!E19</f>
        <v>187500</v>
      </c>
      <c r="E14" s="131">
        <f>EXPENSES!F17+EXPENSES!F18+EXPENSES!F19</f>
        <v>234375</v>
      </c>
      <c r="F14" s="134">
        <f>EXPENSES!G17+EXPENSES!G18+EXPENSES!G19</f>
        <v>292968.75</v>
      </c>
    </row>
    <row r="15" spans="1:6" x14ac:dyDescent="0.15">
      <c r="A15" s="5"/>
      <c r="B15" s="131">
        <f>EXPENSES!D16</f>
        <v>112500</v>
      </c>
      <c r="C15" s="131">
        <f>EXPENSES!E16</f>
        <v>140625</v>
      </c>
      <c r="D15" s="131">
        <f>EXPENSES!F16</f>
        <v>175781.25</v>
      </c>
      <c r="E15" s="131">
        <f>EXPENSES!G16</f>
        <v>219726.5625</v>
      </c>
      <c r="F15" s="134"/>
    </row>
    <row r="16" spans="1:6" x14ac:dyDescent="0.15">
      <c r="A16" s="105" t="s">
        <v>164</v>
      </c>
      <c r="B16" s="131">
        <f>B7-B9</f>
        <v>4588000</v>
      </c>
      <c r="C16" s="131">
        <f t="shared" ref="C16:F16" si="0">C7-C9</f>
        <v>10132000</v>
      </c>
      <c r="D16" s="131">
        <f t="shared" si="0"/>
        <v>25165000</v>
      </c>
      <c r="E16" s="131">
        <f t="shared" si="0"/>
        <v>325206250</v>
      </c>
      <c r="F16" s="134">
        <f t="shared" si="0"/>
        <v>800257812.5</v>
      </c>
    </row>
    <row r="17" spans="1:6" x14ac:dyDescent="0.15">
      <c r="A17" s="105"/>
      <c r="B17" s="131"/>
      <c r="C17" s="131"/>
      <c r="D17" s="131"/>
      <c r="E17" s="131"/>
      <c r="F17" s="134"/>
    </row>
    <row r="18" spans="1:6" x14ac:dyDescent="0.15">
      <c r="A18" s="105" t="s">
        <v>165</v>
      </c>
      <c r="B18" s="131">
        <f>(B16/B7)*100</f>
        <v>101.95555555555555</v>
      </c>
      <c r="C18" s="131">
        <f t="shared" ref="C18:F18" si="1">(C16/C7)*100</f>
        <v>101.32000000000001</v>
      </c>
      <c r="D18" s="131">
        <f t="shared" si="1"/>
        <v>100.66</v>
      </c>
      <c r="E18" s="131">
        <f t="shared" si="1"/>
        <v>100.06346153846152</v>
      </c>
      <c r="F18" s="134">
        <f t="shared" si="1"/>
        <v>100.0322265625</v>
      </c>
    </row>
    <row r="19" spans="1:6" x14ac:dyDescent="0.15">
      <c r="A19" s="5"/>
      <c r="B19" s="131"/>
      <c r="C19" s="131"/>
      <c r="D19" s="131"/>
      <c r="E19" s="131"/>
      <c r="F19" s="134"/>
    </row>
    <row r="20" spans="1:6" x14ac:dyDescent="0.15">
      <c r="A20" s="105" t="s">
        <v>166</v>
      </c>
      <c r="B20" s="131">
        <f>((B14+B13)/B16)*100</f>
        <v>2.1795989537925022</v>
      </c>
      <c r="C20" s="131">
        <f t="shared" ref="C20:F20" si="2">((C14+C13)/C16)*100</f>
        <v>1.4804579549940782</v>
      </c>
      <c r="D20" s="131">
        <f t="shared" si="2"/>
        <v>0.74508245579177435</v>
      </c>
      <c r="E20" s="131">
        <f t="shared" si="2"/>
        <v>7.2069648107931497E-2</v>
      </c>
      <c r="F20" s="134">
        <f t="shared" si="2"/>
        <v>3.6609295832397762E-2</v>
      </c>
    </row>
    <row r="21" spans="1:6" x14ac:dyDescent="0.15">
      <c r="A21" s="5" t="s">
        <v>71</v>
      </c>
      <c r="B21" s="131"/>
      <c r="C21" s="131"/>
      <c r="D21" s="131"/>
      <c r="E21" s="131"/>
      <c r="F21" s="134"/>
    </row>
    <row r="22" spans="1:6" x14ac:dyDescent="0.15">
      <c r="A22" s="5"/>
      <c r="B22" s="131"/>
      <c r="C22" s="131"/>
      <c r="D22" s="131"/>
      <c r="E22" s="131"/>
      <c r="F22" s="134"/>
    </row>
    <row r="23" spans="1:6" x14ac:dyDescent="0.15">
      <c r="A23" s="5" t="s">
        <v>72</v>
      </c>
      <c r="B23" s="131">
        <f>((B14/B16)*100)</f>
        <v>2.1795989537925022</v>
      </c>
      <c r="C23" s="131">
        <f t="shared" ref="C23:F23" si="3">((C14/C16)*100)</f>
        <v>1.4804579549940782</v>
      </c>
      <c r="D23" s="131">
        <f t="shared" si="3"/>
        <v>0.74508245579177435</v>
      </c>
      <c r="E23" s="131">
        <f t="shared" si="3"/>
        <v>7.2069648107931497E-2</v>
      </c>
      <c r="F23" s="134">
        <f t="shared" si="3"/>
        <v>3.6609295832397762E-2</v>
      </c>
    </row>
    <row r="24" spans="1:6" x14ac:dyDescent="0.15">
      <c r="A24" s="5" t="s">
        <v>73</v>
      </c>
      <c r="B24" s="131"/>
      <c r="C24" s="131"/>
      <c r="D24" s="131"/>
      <c r="E24" s="131"/>
      <c r="F24" s="153"/>
    </row>
    <row r="25" spans="1:6" x14ac:dyDescent="0.15">
      <c r="A25" s="58"/>
      <c r="B25" s="32"/>
      <c r="C25" s="32"/>
      <c r="D25" s="32"/>
      <c r="E25" s="32"/>
      <c r="F25" s="32"/>
    </row>
  </sheetData>
  <mergeCells count="2">
    <mergeCell ref="A5:A6"/>
    <mergeCell ref="B5:F5"/>
  </mergeCells>
  <printOptions horizontalCentered="1"/>
  <pageMargins left="0.36" right="0.57999999999999996" top="1" bottom="1" header="0.5" footer="0.5"/>
  <pageSetup orientation="portrait" verticalDpi="144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1"/>
  <sheetViews>
    <sheetView topLeftCell="A10" zoomScale="110" zoomScaleNormal="110" workbookViewId="0">
      <selection activeCell="F17" sqref="F17"/>
    </sheetView>
  </sheetViews>
  <sheetFormatPr baseColWidth="10" defaultColWidth="9.1640625" defaultRowHeight="14" x14ac:dyDescent="0.15"/>
  <cols>
    <col min="1" max="1" width="31.5" style="1" customWidth="1"/>
    <col min="2" max="2" width="18.6640625" style="1" customWidth="1"/>
    <col min="3" max="3" width="16.6640625" style="1" bestFit="1" customWidth="1"/>
    <col min="4" max="5" width="17.83203125" style="1" bestFit="1" customWidth="1"/>
    <col min="6" max="6" width="17.6640625" style="1" bestFit="1" customWidth="1"/>
    <col min="7" max="16384" width="9.1640625" style="1"/>
  </cols>
  <sheetData>
    <row r="1" spans="1:6" x14ac:dyDescent="0.15">
      <c r="A1" s="2" t="e">
        <f>#REF!</f>
        <v>#REF!</v>
      </c>
    </row>
    <row r="2" spans="1:6" x14ac:dyDescent="0.15">
      <c r="A2" s="2" t="s">
        <v>74</v>
      </c>
    </row>
    <row r="4" spans="1:6" x14ac:dyDescent="0.15">
      <c r="A4" s="2" t="s">
        <v>75</v>
      </c>
      <c r="F4" s="4" t="s">
        <v>129</v>
      </c>
    </row>
    <row r="5" spans="1:6" x14ac:dyDescent="0.15">
      <c r="A5" s="1" t="s">
        <v>48</v>
      </c>
    </row>
    <row r="6" spans="1:6" x14ac:dyDescent="0.15">
      <c r="A6" s="1" t="s">
        <v>76</v>
      </c>
      <c r="B6" s="185" t="s">
        <v>77</v>
      </c>
      <c r="C6" s="185"/>
      <c r="D6" s="185"/>
    </row>
    <row r="7" spans="1:6" x14ac:dyDescent="0.15">
      <c r="B7" s="186" t="s">
        <v>78</v>
      </c>
      <c r="C7" s="186"/>
      <c r="D7" s="186"/>
    </row>
    <row r="9" spans="1:6" x14ac:dyDescent="0.15">
      <c r="A9" s="1" t="s">
        <v>79</v>
      </c>
      <c r="B9" s="1" t="s">
        <v>80</v>
      </c>
    </row>
    <row r="11" spans="1:6" x14ac:dyDescent="0.15">
      <c r="A11" s="1" t="s">
        <v>81</v>
      </c>
      <c r="B11" s="1" t="s">
        <v>82</v>
      </c>
    </row>
    <row r="12" spans="1:6" x14ac:dyDescent="0.15">
      <c r="E12" s="98" t="s">
        <v>59</v>
      </c>
    </row>
    <row r="13" spans="1:6" x14ac:dyDescent="0.15">
      <c r="A13" s="2" t="s">
        <v>83</v>
      </c>
    </row>
    <row r="15" spans="1:6" x14ac:dyDescent="0.15">
      <c r="A15" s="164" t="s">
        <v>39</v>
      </c>
      <c r="B15" s="187" t="s">
        <v>84</v>
      </c>
      <c r="C15" s="188"/>
      <c r="D15" s="188"/>
      <c r="E15" s="188"/>
      <c r="F15" s="188"/>
    </row>
    <row r="16" spans="1:6" x14ac:dyDescent="0.15">
      <c r="A16" s="165"/>
      <c r="B16" s="16">
        <v>1</v>
      </c>
      <c r="C16" s="16">
        <v>2</v>
      </c>
      <c r="D16" s="16">
        <v>3</v>
      </c>
      <c r="E16" s="16">
        <v>4</v>
      </c>
      <c r="F16" s="16">
        <v>5</v>
      </c>
    </row>
    <row r="17" spans="1:6" x14ac:dyDescent="0.15">
      <c r="A17" s="10" t="s">
        <v>85</v>
      </c>
      <c r="B17" s="132">
        <f>+profit!B49</f>
        <v>1676500</v>
      </c>
      <c r="C17" s="132">
        <f>+profit!C49</f>
        <v>23139750</v>
      </c>
      <c r="D17" s="132">
        <f>+profit!D49</f>
        <v>83924687.5</v>
      </c>
      <c r="E17" s="132">
        <f>+profit!E49</f>
        <v>317405859.375</v>
      </c>
      <c r="F17" s="132">
        <f>+profit!F49</f>
        <v>790507324.21875</v>
      </c>
    </row>
    <row r="18" spans="1:6" x14ac:dyDescent="0.15">
      <c r="A18" s="5"/>
      <c r="B18" s="23"/>
      <c r="C18" s="23"/>
      <c r="D18" s="23"/>
      <c r="E18" s="23"/>
      <c r="F18" s="23"/>
    </row>
    <row r="19" spans="1:6" x14ac:dyDescent="0.15">
      <c r="A19" s="5" t="s">
        <v>86</v>
      </c>
      <c r="B19" s="134">
        <f>+profit!B55</f>
        <v>543500</v>
      </c>
      <c r="C19" s="134">
        <f>+profit!C55</f>
        <v>815250</v>
      </c>
      <c r="D19" s="134">
        <f>+profit!D55</f>
        <v>1019062.5</v>
      </c>
      <c r="E19" s="134">
        <f>+profit!E55</f>
        <v>1273828.125</v>
      </c>
      <c r="F19" s="134">
        <f>+profit!F55</f>
        <v>1592285.15625</v>
      </c>
    </row>
    <row r="20" spans="1:6" x14ac:dyDescent="0.15">
      <c r="A20" s="5"/>
      <c r="B20" s="23"/>
      <c r="C20" s="23"/>
      <c r="D20" s="23"/>
      <c r="E20" s="23"/>
      <c r="F20" s="23"/>
    </row>
    <row r="21" spans="1:6" x14ac:dyDescent="0.15">
      <c r="A21" s="5"/>
      <c r="B21" s="23"/>
      <c r="C21" s="23"/>
      <c r="D21" s="23"/>
      <c r="E21" s="23"/>
      <c r="F21" s="23"/>
    </row>
    <row r="22" spans="1:6" x14ac:dyDescent="0.15">
      <c r="A22" s="5"/>
      <c r="B22" s="23"/>
      <c r="C22" s="15"/>
      <c r="D22" s="23"/>
      <c r="E22" s="24"/>
      <c r="F22" s="24"/>
    </row>
    <row r="23" spans="1:6" x14ac:dyDescent="0.15">
      <c r="A23" s="5"/>
      <c r="B23" s="133">
        <f>SUM(B17:B21)</f>
        <v>2220000</v>
      </c>
      <c r="C23" s="133">
        <f>SUM(C17:C21)</f>
        <v>23955000</v>
      </c>
      <c r="D23" s="133">
        <f>SUM(D17:D21)</f>
        <v>84943750</v>
      </c>
      <c r="E23" s="133">
        <f>SUM(E17:E21)</f>
        <v>318679687.5</v>
      </c>
      <c r="F23" s="133">
        <f>SUM(F17:F21)</f>
        <v>792099609.375</v>
      </c>
    </row>
    <row r="24" spans="1:6" ht="1.5" customHeight="1" x14ac:dyDescent="0.15">
      <c r="A24" s="12"/>
      <c r="B24" s="26"/>
      <c r="C24" s="18"/>
      <c r="D24" s="26"/>
      <c r="E24" s="18"/>
    </row>
    <row r="27" spans="1:6" x14ac:dyDescent="0.15">
      <c r="A27" s="10" t="s">
        <v>87</v>
      </c>
      <c r="B27" s="138">
        <f>SUM(B23:F23)/5</f>
        <v>244379609.375</v>
      </c>
      <c r="C27" s="27"/>
    </row>
    <row r="28" spans="1:6" x14ac:dyDescent="0.15">
      <c r="A28" s="5"/>
      <c r="B28" s="28"/>
      <c r="C28" s="24"/>
    </row>
    <row r="29" spans="1:6" x14ac:dyDescent="0.15">
      <c r="A29" s="5" t="s">
        <v>88</v>
      </c>
      <c r="B29" s="131">
        <f>Cost!C22</f>
        <v>14500000</v>
      </c>
      <c r="C29" s="24"/>
    </row>
    <row r="30" spans="1:6" x14ac:dyDescent="0.15">
      <c r="A30" s="5"/>
      <c r="B30" s="28"/>
      <c r="C30" s="24"/>
    </row>
    <row r="31" spans="1:6" x14ac:dyDescent="0.15">
      <c r="A31" s="12" t="s">
        <v>89</v>
      </c>
      <c r="B31" s="139">
        <f>+(B27/B29)*100</f>
        <v>1685.3766163793105</v>
      </c>
      <c r="C31" s="29" t="s">
        <v>33</v>
      </c>
    </row>
  </sheetData>
  <mergeCells count="4">
    <mergeCell ref="B6:D6"/>
    <mergeCell ref="B7:D7"/>
    <mergeCell ref="A15:A16"/>
    <mergeCell ref="B15:F15"/>
  </mergeCells>
  <printOptions horizontalCentered="1"/>
  <pageMargins left="0.75" right="1.1299999999999999" top="1" bottom="1" header="0.5" footer="0.5"/>
  <pageSetup orientation="portrait" verticalDpi="144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B11"/>
  <sheetViews>
    <sheetView workbookViewId="0">
      <selection activeCell="B10" sqref="B10"/>
    </sheetView>
  </sheetViews>
  <sheetFormatPr baseColWidth="10" defaultColWidth="8.83203125" defaultRowHeight="14" x14ac:dyDescent="0.15"/>
  <cols>
    <col min="1" max="1" width="6.5" style="1" customWidth="1"/>
    <col min="2" max="2" width="7.6640625" style="1" customWidth="1"/>
    <col min="3" max="3" width="14.5" style="1" customWidth="1"/>
    <col min="4" max="4" width="11.5" style="1" customWidth="1"/>
    <col min="5" max="5" width="12.83203125" style="1" customWidth="1"/>
    <col min="6" max="6" width="16.83203125" style="1" customWidth="1"/>
    <col min="7" max="7" width="9.5" style="1" customWidth="1"/>
    <col min="8" max="8" width="27.83203125" style="1" customWidth="1"/>
    <col min="9" max="9" width="13.1640625" style="1" customWidth="1"/>
    <col min="10" max="10" width="10.5" style="1" customWidth="1"/>
    <col min="11" max="16384" width="8.83203125" style="1"/>
  </cols>
  <sheetData>
    <row r="1" spans="1:2" x14ac:dyDescent="0.15">
      <c r="A1" s="2" t="str">
        <f>'PROJECT AT GLANCE'!D4</f>
        <v>TRESBIZZ</v>
      </c>
    </row>
    <row r="2" spans="1:2" x14ac:dyDescent="0.15">
      <c r="A2" s="3" t="s">
        <v>169</v>
      </c>
    </row>
    <row r="3" spans="1:2" x14ac:dyDescent="0.15">
      <c r="A3" s="2" t="s">
        <v>90</v>
      </c>
    </row>
    <row r="4" spans="1:2" x14ac:dyDescent="0.15">
      <c r="A4" s="7"/>
    </row>
    <row r="5" spans="1:2" x14ac:dyDescent="0.15">
      <c r="A5" s="7"/>
    </row>
    <row r="6" spans="1:2" x14ac:dyDescent="0.15">
      <c r="A6" s="137" t="s">
        <v>178</v>
      </c>
      <c r="B6" s="1" t="s">
        <v>195</v>
      </c>
    </row>
    <row r="7" spans="1:2" x14ac:dyDescent="0.15">
      <c r="A7" s="137" t="s">
        <v>178</v>
      </c>
      <c r="B7" s="98" t="s">
        <v>179</v>
      </c>
    </row>
    <row r="8" spans="1:2" x14ac:dyDescent="0.15">
      <c r="A8" s="137" t="s">
        <v>178</v>
      </c>
      <c r="B8" s="98" t="s">
        <v>180</v>
      </c>
    </row>
    <row r="9" spans="1:2" x14ac:dyDescent="0.15">
      <c r="A9" s="137" t="s">
        <v>178</v>
      </c>
      <c r="B9" s="98" t="s">
        <v>181</v>
      </c>
    </row>
    <row r="10" spans="1:2" x14ac:dyDescent="0.15">
      <c r="A10" s="137" t="s">
        <v>178</v>
      </c>
      <c r="B10" s="98" t="s">
        <v>182</v>
      </c>
    </row>
    <row r="11" spans="1:2" x14ac:dyDescent="0.15">
      <c r="A11" s="137"/>
    </row>
  </sheetData>
  <pageMargins left="0.67" right="0.54" top="0.75" bottom="0.59" header="0.12" footer="0.59"/>
  <pageSetup scale="88" orientation="portrait"/>
  <headerFooter alignWithMargins="0">
    <oddFooter>&amp;CPage 11 of 11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6</vt:i4>
      </vt:variant>
    </vt:vector>
  </HeadingPairs>
  <TitlesOfParts>
    <vt:vector size="18" baseType="lpstr">
      <vt:lpstr>Cover Page</vt:lpstr>
      <vt:lpstr>Index</vt:lpstr>
      <vt:lpstr>PROJECT AT GLANCE</vt:lpstr>
      <vt:lpstr>Cost</vt:lpstr>
      <vt:lpstr>profit</vt:lpstr>
      <vt:lpstr>EXPENSES</vt:lpstr>
      <vt:lpstr>Depr.</vt:lpstr>
      <vt:lpstr>Fund flow</vt:lpstr>
      <vt:lpstr>B.sheet</vt:lpstr>
      <vt:lpstr>BEP</vt:lpstr>
      <vt:lpstr>Annex  ROI</vt:lpstr>
      <vt:lpstr>Assumptions</vt:lpstr>
      <vt:lpstr>B.sheet!Print_Area</vt:lpstr>
      <vt:lpstr>Cost!Print_Area</vt:lpstr>
      <vt:lpstr>'Cover Page'!Print_Area</vt:lpstr>
      <vt:lpstr>Depr.!Print_Area</vt:lpstr>
      <vt:lpstr>'Fund flow'!Print_Area</vt:lpstr>
      <vt:lpstr>profit!Print_Area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Subramanya</dc:creator>
  <cp:lastModifiedBy>Soedesh B</cp:lastModifiedBy>
  <cp:lastPrinted>2013-09-01T08:48:00Z</cp:lastPrinted>
  <dcterms:created xsi:type="dcterms:W3CDTF">2001-03-09T05:50:00Z</dcterms:created>
  <dcterms:modified xsi:type="dcterms:W3CDTF">2025-02-10T14:19:35Z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1033-11.2.0.9052</vt:lpwstr>
  </property>
</Properties>
</file>